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10" windowHeight="7860" tabRatio="772"/>
  </bookViews>
  <sheets>
    <sheet name="СВОД" sheetId="11" r:id="rId1"/>
    <sheet name="ДОУ СВОД" sheetId="5" r:id="rId2"/>
    <sheet name="ДОУ БУ" sheetId="1" r:id="rId3"/>
    <sheet name="ДОУ АУ" sheetId="4" r:id="rId4"/>
    <sheet name="Школы СВОД" sheetId="8" r:id="rId5"/>
    <sheet name="Школы БУ" sheetId="6" r:id="rId6"/>
    <sheet name="Школы АУ" sheetId="7" r:id="rId7"/>
    <sheet name="Внешк АУ" sheetId="9" r:id="rId8"/>
    <sheet name="ЦРО АУ" sheetId="10" r:id="rId9"/>
  </sheets>
  <definedNames>
    <definedName name="_xlnm.Print_Titles" localSheetId="7">'Внешк АУ'!$11:$13</definedName>
    <definedName name="_xlnm.Print_Titles" localSheetId="3">'ДОУ АУ'!$11:$13</definedName>
    <definedName name="_xlnm.Print_Titles" localSheetId="2">'ДОУ БУ'!$11:$13</definedName>
    <definedName name="_xlnm.Print_Titles" localSheetId="1">'ДОУ СВОД'!$11:$13</definedName>
    <definedName name="_xlnm.Print_Titles" localSheetId="0">СВОД!$12:$15</definedName>
    <definedName name="_xlnm.Print_Titles" localSheetId="8">'ЦРО АУ'!$11:$13</definedName>
    <definedName name="_xlnm.Print_Titles" localSheetId="6">'Школы АУ'!$11:$13</definedName>
    <definedName name="_xlnm.Print_Titles" localSheetId="5">'Школы БУ'!$11:$13</definedName>
    <definedName name="_xlnm.Print_Titles" localSheetId="4">'Школы СВОД'!$11:$13</definedName>
    <definedName name="_xlnm.Print_Area" localSheetId="7">'Внешк АУ'!$A$1:$T$274</definedName>
    <definedName name="_xlnm.Print_Area" localSheetId="3">'ДОУ АУ'!$A$1:$T$274</definedName>
    <definedName name="_xlnm.Print_Area" localSheetId="2">'ДОУ БУ'!$A$1:$T$274</definedName>
    <definedName name="_xlnm.Print_Area" localSheetId="1">'ДОУ СВОД'!$A$1:$T$274</definedName>
    <definedName name="_xlnm.Print_Area" localSheetId="0">СВОД!$A$1:$P$222</definedName>
    <definedName name="_xlnm.Print_Area" localSheetId="8">'ЦРО АУ'!$A$6:$T$274</definedName>
    <definedName name="_xlnm.Print_Area" localSheetId="6">'Школы АУ'!$A$1:$T$274</definedName>
    <definedName name="_xlnm.Print_Area" localSheetId="5">'Школы БУ'!$A$2:$T$274</definedName>
    <definedName name="_xlnm.Print_Area" localSheetId="4">'Школы СВОД'!$A$1:$T$274</definedName>
  </definedNames>
  <calcPr calcId="152511"/>
</workbook>
</file>

<file path=xl/calcChain.xml><?xml version="1.0" encoding="utf-8"?>
<calcChain xmlns="http://schemas.openxmlformats.org/spreadsheetml/2006/main">
  <c r="E187" i="11" l="1"/>
  <c r="E186" i="11" s="1"/>
  <c r="E205" i="11"/>
  <c r="E189" i="11"/>
  <c r="E190" i="11"/>
  <c r="E191" i="11"/>
  <c r="E193" i="11"/>
  <c r="E195" i="11"/>
  <c r="E196" i="11"/>
  <c r="E198" i="11"/>
  <c r="E199" i="11"/>
  <c r="E200" i="11"/>
  <c r="E201" i="11"/>
  <c r="E202" i="11"/>
  <c r="E203" i="11"/>
  <c r="E204" i="11"/>
  <c r="E188" i="11"/>
  <c r="J40" i="11" l="1"/>
  <c r="J30" i="11" s="1"/>
  <c r="J29" i="11" s="1"/>
  <c r="J19" i="11" s="1"/>
  <c r="J18" i="11" s="1"/>
  <c r="N192" i="11"/>
  <c r="E192" i="11" s="1"/>
  <c r="F40" i="11"/>
  <c r="K60" i="11"/>
  <c r="K29" i="11" s="1"/>
  <c r="K24" i="11" s="1"/>
  <c r="E24" i="11" s="1"/>
  <c r="I30" i="11"/>
  <c r="I29" i="11" s="1"/>
  <c r="I18" i="11" s="1"/>
  <c r="I36" i="11"/>
  <c r="P197" i="11"/>
  <c r="N197" i="11"/>
  <c r="N194" i="11" s="1"/>
  <c r="P187" i="11"/>
  <c r="P186" i="11" s="1"/>
  <c r="N187" i="11"/>
  <c r="N186" i="11" s="1"/>
  <c r="N185" i="11" s="1"/>
  <c r="G40" i="11"/>
  <c r="E67" i="11"/>
  <c r="E63" i="11"/>
  <c r="E64" i="11"/>
  <c r="E62" i="11"/>
  <c r="E60" i="11" s="1"/>
  <c r="E66" i="11"/>
  <c r="F56" i="11"/>
  <c r="F43" i="11"/>
  <c r="E222" i="11"/>
  <c r="G33" i="11"/>
  <c r="E33" i="11" s="1"/>
  <c r="E34" i="11"/>
  <c r="E35" i="11"/>
  <c r="E36" i="11"/>
  <c r="E37" i="11"/>
  <c r="E38" i="11"/>
  <c r="E39" i="11"/>
  <c r="E41" i="11"/>
  <c r="E42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7" i="11"/>
  <c r="E58" i="11"/>
  <c r="E59" i="11"/>
  <c r="F60" i="11"/>
  <c r="F66" i="11"/>
  <c r="E21" i="11"/>
  <c r="E185" i="11" l="1"/>
  <c r="P194" i="11"/>
  <c r="E194" i="11" s="1"/>
  <c r="E197" i="11"/>
  <c r="F31" i="11"/>
  <c r="F30" i="11" s="1"/>
  <c r="F29" i="11" s="1"/>
  <c r="P185" i="11"/>
  <c r="P29" i="11" s="1"/>
  <c r="N29" i="11"/>
  <c r="E56" i="11"/>
  <c r="E43" i="11"/>
  <c r="G32" i="11"/>
  <c r="T193" i="4"/>
  <c r="L68" i="4"/>
  <c r="L65" i="4"/>
  <c r="H168" i="4"/>
  <c r="H78" i="4"/>
  <c r="H75" i="4"/>
  <c r="H68" i="4"/>
  <c r="H61" i="4"/>
  <c r="H55" i="4"/>
  <c r="H33" i="4"/>
  <c r="T240" i="1"/>
  <c r="L68" i="1"/>
  <c r="L65" i="1"/>
  <c r="H76" i="1"/>
  <c r="H75" i="1"/>
  <c r="H61" i="1"/>
  <c r="H55" i="1"/>
  <c r="H33" i="1"/>
  <c r="R37" i="8"/>
  <c r="R38" i="8"/>
  <c r="F130" i="8"/>
  <c r="D131" i="8"/>
  <c r="E131" i="8"/>
  <c r="F131" i="8"/>
  <c r="D132" i="8"/>
  <c r="E132" i="8"/>
  <c r="F132" i="8"/>
  <c r="D133" i="8"/>
  <c r="E133" i="8"/>
  <c r="F133" i="8"/>
  <c r="D134" i="8"/>
  <c r="E134" i="8"/>
  <c r="F134" i="8"/>
  <c r="H130" i="8"/>
  <c r="H129" i="8" s="1"/>
  <c r="I130" i="8"/>
  <c r="J130" i="8"/>
  <c r="K130" i="8"/>
  <c r="L130" i="8"/>
  <c r="M130" i="8"/>
  <c r="N130" i="8"/>
  <c r="O130" i="8"/>
  <c r="P130" i="8"/>
  <c r="Q130" i="8"/>
  <c r="R130" i="8"/>
  <c r="S130" i="8"/>
  <c r="T130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T131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H133" i="8"/>
  <c r="I133" i="8"/>
  <c r="J133" i="8"/>
  <c r="K133" i="8"/>
  <c r="L133" i="8"/>
  <c r="M133" i="8"/>
  <c r="N133" i="8"/>
  <c r="O133" i="8"/>
  <c r="P133" i="8"/>
  <c r="Q133" i="8"/>
  <c r="R133" i="8"/>
  <c r="S133" i="8"/>
  <c r="T133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T134" i="8"/>
  <c r="I129" i="8"/>
  <c r="J129" i="8"/>
  <c r="K129" i="8"/>
  <c r="L129" i="8"/>
  <c r="M129" i="8"/>
  <c r="N129" i="8"/>
  <c r="O129" i="8"/>
  <c r="P129" i="8"/>
  <c r="Q129" i="8"/>
  <c r="R129" i="8"/>
  <c r="S129" i="8"/>
  <c r="T129" i="8"/>
  <c r="F129" i="8"/>
  <c r="G129" i="8"/>
  <c r="F124" i="8"/>
  <c r="E125" i="8"/>
  <c r="F125" i="8"/>
  <c r="F126" i="8"/>
  <c r="E127" i="8"/>
  <c r="F127" i="8"/>
  <c r="F128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H125" i="8"/>
  <c r="I125" i="8"/>
  <c r="J125" i="8"/>
  <c r="K125" i="8"/>
  <c r="L125" i="8"/>
  <c r="M125" i="8"/>
  <c r="N125" i="8"/>
  <c r="O125" i="8"/>
  <c r="P125" i="8"/>
  <c r="Q125" i="8"/>
  <c r="R125" i="8"/>
  <c r="S125" i="8"/>
  <c r="T125" i="8"/>
  <c r="H126" i="8"/>
  <c r="I126" i="8"/>
  <c r="J126" i="8"/>
  <c r="K126" i="8"/>
  <c r="L126" i="8"/>
  <c r="M126" i="8"/>
  <c r="N126" i="8"/>
  <c r="O126" i="8"/>
  <c r="P126" i="8"/>
  <c r="Q126" i="8"/>
  <c r="R126" i="8"/>
  <c r="S126" i="8"/>
  <c r="T126" i="8"/>
  <c r="H127" i="8"/>
  <c r="I127" i="8"/>
  <c r="J127" i="8"/>
  <c r="K127" i="8"/>
  <c r="L127" i="8"/>
  <c r="M127" i="8"/>
  <c r="N127" i="8"/>
  <c r="O127" i="8"/>
  <c r="P127" i="8"/>
  <c r="Q127" i="8"/>
  <c r="R127" i="8"/>
  <c r="S127" i="8"/>
  <c r="T127" i="8"/>
  <c r="H128" i="8"/>
  <c r="I128" i="8"/>
  <c r="J128" i="8"/>
  <c r="K128" i="8"/>
  <c r="L128" i="8"/>
  <c r="M128" i="8"/>
  <c r="N128" i="8"/>
  <c r="O128" i="8"/>
  <c r="P128" i="8"/>
  <c r="Q128" i="8"/>
  <c r="R128" i="8"/>
  <c r="S128" i="8"/>
  <c r="T128" i="8"/>
  <c r="F123" i="8"/>
  <c r="G115" i="8"/>
  <c r="G116" i="8"/>
  <c r="G117" i="8"/>
  <c r="G119" i="8"/>
  <c r="G120" i="8"/>
  <c r="G121" i="8"/>
  <c r="G122" i="8"/>
  <c r="G124" i="8"/>
  <c r="G125" i="8"/>
  <c r="G126" i="8"/>
  <c r="G127" i="8"/>
  <c r="G128" i="8"/>
  <c r="G130" i="8"/>
  <c r="G131" i="8"/>
  <c r="G132" i="8"/>
  <c r="G133" i="8"/>
  <c r="G134" i="8"/>
  <c r="N51" i="7"/>
  <c r="J70" i="7"/>
  <c r="J68" i="7" s="1"/>
  <c r="J67" i="7"/>
  <c r="J65" i="7" s="1"/>
  <c r="J52" i="7"/>
  <c r="J50" i="7"/>
  <c r="T256" i="7"/>
  <c r="T204" i="7"/>
  <c r="T202" i="7"/>
  <c r="T200" i="7"/>
  <c r="T193" i="7"/>
  <c r="H168" i="7"/>
  <c r="H99" i="7"/>
  <c r="H81" i="7"/>
  <c r="H78" i="7"/>
  <c r="H72" i="7"/>
  <c r="H71" i="7"/>
  <c r="H68" i="7" s="1"/>
  <c r="H65" i="7"/>
  <c r="H63" i="7"/>
  <c r="H61" i="7" s="1"/>
  <c r="H55" i="7"/>
  <c r="H33" i="7"/>
  <c r="F85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T256" i="6"/>
  <c r="T247" i="6"/>
  <c r="T220" i="6"/>
  <c r="T218" i="6"/>
  <c r="T204" i="6"/>
  <c r="T202" i="6"/>
  <c r="T201" i="6"/>
  <c r="T200" i="6"/>
  <c r="T193" i="6"/>
  <c r="J68" i="6"/>
  <c r="J65" i="6"/>
  <c r="J61" i="6"/>
  <c r="J52" i="6"/>
  <c r="J50" i="6"/>
  <c r="H81" i="6"/>
  <c r="H72" i="6"/>
  <c r="H71" i="6"/>
  <c r="H68" i="6" s="1"/>
  <c r="H63" i="6"/>
  <c r="H61" i="6" s="1"/>
  <c r="H55" i="6"/>
  <c r="H33" i="6"/>
  <c r="T258" i="10"/>
  <c r="G33" i="10"/>
  <c r="H33" i="10"/>
  <c r="F85" i="7"/>
  <c r="L85" i="7"/>
  <c r="L84" i="7" s="1"/>
  <c r="N85" i="7"/>
  <c r="P85" i="7"/>
  <c r="P84" i="7" s="1"/>
  <c r="R85" i="7"/>
  <c r="F84" i="7"/>
  <c r="N84" i="7"/>
  <c r="R84" i="7"/>
  <c r="Q123" i="7"/>
  <c r="Q85" i="7" s="1"/>
  <c r="Q37" i="7"/>
  <c r="D124" i="7"/>
  <c r="D125" i="7"/>
  <c r="D125" i="8" s="1"/>
  <c r="D126" i="7"/>
  <c r="D127" i="7"/>
  <c r="D127" i="8" s="1"/>
  <c r="D128" i="7"/>
  <c r="E40" i="11" l="1"/>
  <c r="E31" i="11"/>
  <c r="E32" i="11"/>
  <c r="G30" i="11"/>
  <c r="G29" i="11" s="1"/>
  <c r="Q84" i="7"/>
  <c r="Q265" i="7"/>
  <c r="E30" i="11" l="1"/>
  <c r="E29" i="11" s="1"/>
  <c r="G52" i="10"/>
  <c r="G50" i="10"/>
  <c r="G93" i="4"/>
  <c r="G90" i="4"/>
  <c r="E18" i="11" l="1"/>
  <c r="E16" i="11" s="1"/>
  <c r="E19" i="11"/>
  <c r="N33" i="7"/>
  <c r="H33" i="9"/>
  <c r="H37" i="7"/>
  <c r="H37" i="6"/>
  <c r="H37" i="4"/>
  <c r="G37" i="4"/>
  <c r="G92" i="4"/>
  <c r="G87" i="4"/>
  <c r="H135" i="4"/>
  <c r="H99" i="4"/>
  <c r="H78" i="1"/>
  <c r="G149" i="4"/>
  <c r="G154" i="4"/>
  <c r="G100" i="4"/>
  <c r="G91" i="4"/>
  <c r="G89" i="4" s="1"/>
  <c r="G91" i="1"/>
  <c r="G90" i="1"/>
  <c r="F49" i="7"/>
  <c r="F48" i="7" s="1"/>
  <c r="F47" i="7" s="1"/>
  <c r="P68" i="7"/>
  <c r="P61" i="7"/>
  <c r="T223" i="7"/>
  <c r="H135" i="7"/>
  <c r="G139" i="7"/>
  <c r="G172" i="7"/>
  <c r="G171" i="7"/>
  <c r="G170" i="7"/>
  <c r="G33" i="7"/>
  <c r="G81" i="7"/>
  <c r="G78" i="7" s="1"/>
  <c r="G80" i="7"/>
  <c r="G79" i="7"/>
  <c r="G74" i="7"/>
  <c r="G73" i="7"/>
  <c r="G72" i="7" s="1"/>
  <c r="G71" i="7"/>
  <c r="G68" i="7"/>
  <c r="G63" i="7"/>
  <c r="G62" i="7"/>
  <c r="G60" i="7"/>
  <c r="G58" i="7"/>
  <c r="G57" i="7"/>
  <c r="G55" i="7" s="1"/>
  <c r="G56" i="7"/>
  <c r="G53" i="7"/>
  <c r="G51" i="7"/>
  <c r="I67" i="6"/>
  <c r="I65" i="6"/>
  <c r="G108" i="6"/>
  <c r="G33" i="6"/>
  <c r="G80" i="6"/>
  <c r="G81" i="6"/>
  <c r="G78" i="6" s="1"/>
  <c r="G82" i="6"/>
  <c r="G79" i="6"/>
  <c r="G73" i="6"/>
  <c r="G72" i="6" s="1"/>
  <c r="G71" i="6"/>
  <c r="G68" i="6"/>
  <c r="G63" i="6"/>
  <c r="G62" i="6"/>
  <c r="G61" i="6" s="1"/>
  <c r="G60" i="6"/>
  <c r="G58" i="6"/>
  <c r="G55" i="6" s="1"/>
  <c r="G57" i="6"/>
  <c r="G56" i="6"/>
  <c r="G53" i="6"/>
  <c r="G51" i="6"/>
  <c r="G172" i="6"/>
  <c r="G155" i="7"/>
  <c r="G155" i="6"/>
  <c r="G139" i="6"/>
  <c r="G92" i="7"/>
  <c r="G87" i="7"/>
  <c r="G88" i="6"/>
  <c r="G87" i="6"/>
  <c r="G90" i="6"/>
  <c r="G91" i="6"/>
  <c r="G93" i="7"/>
  <c r="G93" i="6"/>
  <c r="G90" i="7"/>
  <c r="G61" i="7" l="1"/>
  <c r="P68" i="6"/>
  <c r="P61" i="6"/>
  <c r="F87" i="10" l="1"/>
  <c r="F91" i="10"/>
  <c r="F95" i="10"/>
  <c r="F169" i="10"/>
  <c r="F173" i="10"/>
  <c r="D53" i="10"/>
  <c r="E53" i="10"/>
  <c r="D54" i="10"/>
  <c r="E54" i="10"/>
  <c r="E55" i="10"/>
  <c r="D56" i="10"/>
  <c r="E56" i="10"/>
  <c r="D57" i="10"/>
  <c r="E57" i="10"/>
  <c r="D58" i="10"/>
  <c r="E58" i="10"/>
  <c r="D59" i="10"/>
  <c r="E59" i="10"/>
  <c r="D60" i="10"/>
  <c r="E60" i="10"/>
  <c r="D61" i="10"/>
  <c r="E61" i="10"/>
  <c r="F61" i="10" s="1"/>
  <c r="D62" i="10"/>
  <c r="E62" i="10"/>
  <c r="D63" i="10"/>
  <c r="E63" i="10"/>
  <c r="D64" i="10"/>
  <c r="E64" i="10"/>
  <c r="D65" i="10"/>
  <c r="E65" i="10"/>
  <c r="D66" i="10"/>
  <c r="E66" i="10"/>
  <c r="D67" i="10"/>
  <c r="E67" i="10"/>
  <c r="D69" i="10"/>
  <c r="E69" i="10"/>
  <c r="D70" i="10"/>
  <c r="E70" i="10"/>
  <c r="D71" i="10"/>
  <c r="E71" i="10"/>
  <c r="F71" i="10" s="1"/>
  <c r="D72" i="10"/>
  <c r="E72" i="10"/>
  <c r="D73" i="10"/>
  <c r="E73" i="10"/>
  <c r="D74" i="10"/>
  <c r="E74" i="10"/>
  <c r="D75" i="10"/>
  <c r="E75" i="10"/>
  <c r="D76" i="10"/>
  <c r="E76" i="10"/>
  <c r="D77" i="10"/>
  <c r="E77" i="10"/>
  <c r="D79" i="10"/>
  <c r="E79" i="10"/>
  <c r="F79" i="10" s="1"/>
  <c r="D80" i="10"/>
  <c r="F80" i="10" s="1"/>
  <c r="E80" i="10"/>
  <c r="D81" i="10"/>
  <c r="E81" i="10"/>
  <c r="F81" i="10" s="1"/>
  <c r="D82" i="10"/>
  <c r="E82" i="10"/>
  <c r="F82" i="10" s="1"/>
  <c r="D83" i="10"/>
  <c r="E83" i="10"/>
  <c r="F83" i="10" s="1"/>
  <c r="D87" i="10"/>
  <c r="E87" i="10"/>
  <c r="D88" i="10"/>
  <c r="E88" i="10"/>
  <c r="F88" i="10" s="1"/>
  <c r="E90" i="10"/>
  <c r="D91" i="10"/>
  <c r="E91" i="10"/>
  <c r="D92" i="10"/>
  <c r="E92" i="10"/>
  <c r="F92" i="10" s="1"/>
  <c r="D93" i="10"/>
  <c r="E93" i="10"/>
  <c r="F93" i="10" s="1"/>
  <c r="D94" i="10"/>
  <c r="E94" i="10"/>
  <c r="F94" i="10" s="1"/>
  <c r="D95" i="10"/>
  <c r="E95" i="10"/>
  <c r="D96" i="10"/>
  <c r="E96" i="10"/>
  <c r="F96" i="10" s="1"/>
  <c r="D97" i="10"/>
  <c r="E97" i="10"/>
  <c r="F97" i="10" s="1"/>
  <c r="D98" i="10"/>
  <c r="E98" i="10"/>
  <c r="F98" i="10" s="1"/>
  <c r="D100" i="10"/>
  <c r="D99" i="10" s="1"/>
  <c r="E100" i="10"/>
  <c r="E99" i="10" s="1"/>
  <c r="D101" i="10"/>
  <c r="E101" i="10"/>
  <c r="F101" i="10" s="1"/>
  <c r="D102" i="10"/>
  <c r="E102" i="10"/>
  <c r="F102" i="10" s="1"/>
  <c r="D103" i="10"/>
  <c r="F103" i="10" s="1"/>
  <c r="E103" i="10"/>
  <c r="D104" i="10"/>
  <c r="E104" i="10"/>
  <c r="F104" i="10" s="1"/>
  <c r="D105" i="10"/>
  <c r="E105" i="10"/>
  <c r="F105" i="10" s="1"/>
  <c r="D106" i="10"/>
  <c r="E106" i="10"/>
  <c r="F106" i="10" s="1"/>
  <c r="D107" i="10"/>
  <c r="F107" i="10" s="1"/>
  <c r="E107" i="10"/>
  <c r="D108" i="10"/>
  <c r="E108" i="10"/>
  <c r="F108" i="10" s="1"/>
  <c r="D109" i="10"/>
  <c r="E109" i="10"/>
  <c r="F109" i="10" s="1"/>
  <c r="D110" i="10"/>
  <c r="E110" i="10"/>
  <c r="F110" i="10" s="1"/>
  <c r="D111" i="10"/>
  <c r="F111" i="10" s="1"/>
  <c r="E111" i="10"/>
  <c r="D112" i="10"/>
  <c r="E112" i="10"/>
  <c r="F112" i="10" s="1"/>
  <c r="D113" i="10"/>
  <c r="E113" i="10"/>
  <c r="F113" i="10" s="1"/>
  <c r="D114" i="10"/>
  <c r="E114" i="10"/>
  <c r="F114" i="10" s="1"/>
  <c r="D115" i="10"/>
  <c r="F115" i="10" s="1"/>
  <c r="E115" i="10"/>
  <c r="D116" i="10"/>
  <c r="E116" i="10"/>
  <c r="F116" i="10" s="1"/>
  <c r="D117" i="10"/>
  <c r="E117" i="10"/>
  <c r="F117" i="10" s="1"/>
  <c r="D119" i="10"/>
  <c r="F119" i="10" s="1"/>
  <c r="E119" i="10"/>
  <c r="D120" i="10"/>
  <c r="E120" i="10"/>
  <c r="F120" i="10" s="1"/>
  <c r="D121" i="10"/>
  <c r="E121" i="10"/>
  <c r="F121" i="10" s="1"/>
  <c r="D122" i="10"/>
  <c r="E122" i="10"/>
  <c r="F122" i="10" s="1"/>
  <c r="D124" i="10"/>
  <c r="F124" i="10" s="1"/>
  <c r="E124" i="10"/>
  <c r="D126" i="10"/>
  <c r="E126" i="10"/>
  <c r="E123" i="10" s="1"/>
  <c r="D128" i="10"/>
  <c r="E128" i="10"/>
  <c r="E130" i="10"/>
  <c r="D131" i="10"/>
  <c r="E131" i="10"/>
  <c r="D132" i="10"/>
  <c r="E132" i="10"/>
  <c r="D133" i="10"/>
  <c r="E133" i="10"/>
  <c r="D134" i="10"/>
  <c r="E134" i="10"/>
  <c r="D136" i="10"/>
  <c r="D135" i="10" s="1"/>
  <c r="E136" i="10"/>
  <c r="E135" i="10" s="1"/>
  <c r="D137" i="10"/>
  <c r="E137" i="10"/>
  <c r="D138" i="10"/>
  <c r="E138" i="10"/>
  <c r="D139" i="10"/>
  <c r="E139" i="10"/>
  <c r="D140" i="10"/>
  <c r="E140" i="10"/>
  <c r="D141" i="10"/>
  <c r="E141" i="10"/>
  <c r="D142" i="10"/>
  <c r="E142" i="10"/>
  <c r="D143" i="10"/>
  <c r="E143" i="10"/>
  <c r="D144" i="10"/>
  <c r="E144" i="10"/>
  <c r="D145" i="10"/>
  <c r="E145" i="10"/>
  <c r="D146" i="10"/>
  <c r="E146" i="10"/>
  <c r="D147" i="10"/>
  <c r="E147" i="10"/>
  <c r="D148" i="10"/>
  <c r="E148" i="10"/>
  <c r="D149" i="10"/>
  <c r="E149" i="10"/>
  <c r="D150" i="10"/>
  <c r="E150" i="10"/>
  <c r="D151" i="10"/>
  <c r="E151" i="10"/>
  <c r="D152" i="10"/>
  <c r="E152" i="10"/>
  <c r="D153" i="10"/>
  <c r="E153" i="10"/>
  <c r="D154" i="10"/>
  <c r="E154" i="10"/>
  <c r="D155" i="10"/>
  <c r="E155" i="10"/>
  <c r="D156" i="10"/>
  <c r="E156" i="10"/>
  <c r="D157" i="10"/>
  <c r="E157" i="10"/>
  <c r="D158" i="10"/>
  <c r="E158" i="10"/>
  <c r="D159" i="10"/>
  <c r="E159" i="10"/>
  <c r="D160" i="10"/>
  <c r="E160" i="10"/>
  <c r="D161" i="10"/>
  <c r="E161" i="10"/>
  <c r="D162" i="10"/>
  <c r="E162" i="10"/>
  <c r="F162" i="10" s="1"/>
  <c r="D163" i="10"/>
  <c r="E163" i="10"/>
  <c r="F163" i="10" s="1"/>
  <c r="D164" i="10"/>
  <c r="E164" i="10"/>
  <c r="F164" i="10" s="1"/>
  <c r="D166" i="10"/>
  <c r="E166" i="10"/>
  <c r="F166" i="10" s="1"/>
  <c r="D167" i="10"/>
  <c r="E167" i="10"/>
  <c r="F167" i="10" s="1"/>
  <c r="D169" i="10"/>
  <c r="E169" i="10"/>
  <c r="D170" i="10"/>
  <c r="E170" i="10"/>
  <c r="F170" i="10" s="1"/>
  <c r="D171" i="10"/>
  <c r="E171" i="10"/>
  <c r="F171" i="10" s="1"/>
  <c r="D172" i="10"/>
  <c r="E172" i="10"/>
  <c r="F172" i="10" s="1"/>
  <c r="D173" i="10"/>
  <c r="E173" i="10"/>
  <c r="D175" i="10"/>
  <c r="D174" i="10" s="1"/>
  <c r="E175" i="10"/>
  <c r="F175" i="10" s="1"/>
  <c r="D176" i="10"/>
  <c r="E176" i="10"/>
  <c r="F176" i="10" s="1"/>
  <c r="D177" i="10"/>
  <c r="F177" i="10" s="1"/>
  <c r="E177" i="10"/>
  <c r="D178" i="10"/>
  <c r="E178" i="10"/>
  <c r="F178" i="10" s="1"/>
  <c r="D179" i="10"/>
  <c r="E179" i="10"/>
  <c r="F179" i="10" s="1"/>
  <c r="D181" i="10"/>
  <c r="E181" i="10"/>
  <c r="D182" i="10"/>
  <c r="E182" i="10"/>
  <c r="D183" i="10"/>
  <c r="E183" i="10"/>
  <c r="D184" i="10"/>
  <c r="E184" i="10"/>
  <c r="D185" i="10"/>
  <c r="E185" i="10"/>
  <c r="D186" i="10"/>
  <c r="E186" i="10"/>
  <c r="D188" i="10"/>
  <c r="E188" i="10"/>
  <c r="F188" i="10" s="1"/>
  <c r="D189" i="10"/>
  <c r="E189" i="10"/>
  <c r="D190" i="10"/>
  <c r="E190" i="10"/>
  <c r="F190" i="10" s="1"/>
  <c r="D191" i="10"/>
  <c r="E191" i="10"/>
  <c r="F191" i="10" s="1"/>
  <c r="D192" i="10"/>
  <c r="E192" i="10"/>
  <c r="F192" i="10" s="1"/>
  <c r="D193" i="10"/>
  <c r="E193" i="10"/>
  <c r="D194" i="10"/>
  <c r="E194" i="10"/>
  <c r="D195" i="10"/>
  <c r="E195" i="10"/>
  <c r="D196" i="10"/>
  <c r="E196" i="10"/>
  <c r="D197" i="10"/>
  <c r="E197" i="10"/>
  <c r="D198" i="10"/>
  <c r="E198" i="10"/>
  <c r="D199" i="10"/>
  <c r="E199" i="10"/>
  <c r="F199" i="10" s="1"/>
  <c r="E200" i="10"/>
  <c r="D201" i="10"/>
  <c r="E201" i="10"/>
  <c r="D202" i="10"/>
  <c r="E202" i="10"/>
  <c r="F202" i="10" s="1"/>
  <c r="D203" i="10"/>
  <c r="E203" i="10"/>
  <c r="F203" i="10" s="1"/>
  <c r="D204" i="10"/>
  <c r="E204" i="10"/>
  <c r="F204" i="10" s="1"/>
  <c r="D205" i="10"/>
  <c r="E205" i="10"/>
  <c r="D207" i="10"/>
  <c r="E207" i="10"/>
  <c r="D208" i="10"/>
  <c r="E208" i="10"/>
  <c r="D209" i="10"/>
  <c r="E209" i="10"/>
  <c r="D210" i="10"/>
  <c r="E210" i="10"/>
  <c r="D211" i="10"/>
  <c r="E211" i="10"/>
  <c r="D212" i="10"/>
  <c r="E212" i="10"/>
  <c r="D213" i="10"/>
  <c r="E213" i="10"/>
  <c r="D214" i="10"/>
  <c r="E214" i="10"/>
  <c r="D215" i="10"/>
  <c r="E215" i="10"/>
  <c r="D216" i="10"/>
  <c r="E216" i="10"/>
  <c r="D217" i="10"/>
  <c r="E217" i="10"/>
  <c r="D218" i="10"/>
  <c r="E218" i="10"/>
  <c r="D219" i="10"/>
  <c r="E219" i="10"/>
  <c r="D220" i="10"/>
  <c r="E220" i="10"/>
  <c r="D221" i="10"/>
  <c r="E221" i="10"/>
  <c r="D222" i="10"/>
  <c r="E222" i="10"/>
  <c r="D224" i="10"/>
  <c r="E224" i="10"/>
  <c r="F224" i="10" s="1"/>
  <c r="D225" i="10"/>
  <c r="E225" i="10"/>
  <c r="F225" i="10" s="1"/>
  <c r="D226" i="10"/>
  <c r="E226" i="10"/>
  <c r="F226" i="10" s="1"/>
  <c r="D227" i="10"/>
  <c r="E227" i="10"/>
  <c r="F227" i="10" s="1"/>
  <c r="D228" i="10"/>
  <c r="E228" i="10"/>
  <c r="F228" i="10" s="1"/>
  <c r="D229" i="10"/>
  <c r="E229" i="10"/>
  <c r="F229" i="10" s="1"/>
  <c r="D230" i="10"/>
  <c r="E230" i="10"/>
  <c r="F230" i="10" s="1"/>
  <c r="D231" i="10"/>
  <c r="E231" i="10"/>
  <c r="F231" i="10" s="1"/>
  <c r="D232" i="10"/>
  <c r="E232" i="10"/>
  <c r="F232" i="10" s="1"/>
  <c r="D233" i="10"/>
  <c r="E233" i="10"/>
  <c r="F233" i="10" s="1"/>
  <c r="D234" i="10"/>
  <c r="E234" i="10"/>
  <c r="F234" i="10" s="1"/>
  <c r="D235" i="10"/>
  <c r="E235" i="10"/>
  <c r="F235" i="10" s="1"/>
  <c r="D236" i="10"/>
  <c r="E236" i="10"/>
  <c r="F236" i="10" s="1"/>
  <c r="D237" i="10"/>
  <c r="E237" i="10"/>
  <c r="F237" i="10" s="1"/>
  <c r="D238" i="10"/>
  <c r="E238" i="10"/>
  <c r="F238" i="10" s="1"/>
  <c r="D239" i="10"/>
  <c r="E239" i="10"/>
  <c r="F239" i="10" s="1"/>
  <c r="D240" i="10"/>
  <c r="E240" i="10"/>
  <c r="F240" i="10" s="1"/>
  <c r="D242" i="10"/>
  <c r="E242" i="10"/>
  <c r="D243" i="10"/>
  <c r="E243" i="10"/>
  <c r="D244" i="10"/>
  <c r="E244" i="10"/>
  <c r="D245" i="10"/>
  <c r="E245" i="10"/>
  <c r="F245" i="10" s="1"/>
  <c r="D246" i="10"/>
  <c r="E246" i="10"/>
  <c r="D247" i="10"/>
  <c r="E247" i="10"/>
  <c r="D248" i="10"/>
  <c r="E248" i="10"/>
  <c r="D249" i="10"/>
  <c r="E249" i="10"/>
  <c r="D250" i="10"/>
  <c r="E250" i="10"/>
  <c r="D251" i="10"/>
  <c r="E251" i="10"/>
  <c r="D252" i="10"/>
  <c r="E252" i="10"/>
  <c r="D253" i="10"/>
  <c r="E253" i="10"/>
  <c r="F253" i="10" s="1"/>
  <c r="E254" i="10"/>
  <c r="D255" i="10"/>
  <c r="E255" i="10"/>
  <c r="D256" i="10"/>
  <c r="E256" i="10"/>
  <c r="D257" i="10"/>
  <c r="E257" i="10"/>
  <c r="F257" i="10" s="1"/>
  <c r="D258" i="10"/>
  <c r="E258" i="10"/>
  <c r="E52" i="10"/>
  <c r="D52" i="10"/>
  <c r="F99" i="10" l="1"/>
  <c r="F258" i="10"/>
  <c r="F256" i="10"/>
  <c r="F128" i="10"/>
  <c r="F100" i="10"/>
  <c r="D123" i="10"/>
  <c r="F123" i="10" s="1"/>
  <c r="E174" i="10"/>
  <c r="F174" i="10" s="1"/>
  <c r="E129" i="10"/>
  <c r="F126" i="10"/>
  <c r="G130" i="10"/>
  <c r="D130" i="10" s="1"/>
  <c r="D129" i="10" s="1"/>
  <c r="G90" i="10"/>
  <c r="D90" i="10" s="1"/>
  <c r="F90" i="10" s="1"/>
  <c r="H129" i="10"/>
  <c r="F132" i="9"/>
  <c r="D131" i="9"/>
  <c r="E131" i="9"/>
  <c r="D132" i="9"/>
  <c r="E132" i="9"/>
  <c r="D133" i="9"/>
  <c r="E133" i="9"/>
  <c r="D134" i="9"/>
  <c r="E134" i="9"/>
  <c r="F134" i="9" s="1"/>
  <c r="G149" i="9"/>
  <c r="G124" i="9"/>
  <c r="G87" i="9"/>
  <c r="N265" i="9"/>
  <c r="P265" i="9"/>
  <c r="R265" i="9"/>
  <c r="H268" i="9"/>
  <c r="J268" i="9"/>
  <c r="L268" i="9"/>
  <c r="N268" i="9"/>
  <c r="P268" i="9"/>
  <c r="Q268" i="9"/>
  <c r="R268" i="9"/>
  <c r="G180" i="9"/>
  <c r="H129" i="9"/>
  <c r="I129" i="9"/>
  <c r="J129" i="9"/>
  <c r="K129" i="9"/>
  <c r="L129" i="9"/>
  <c r="M129" i="9"/>
  <c r="N129" i="9"/>
  <c r="O129" i="9"/>
  <c r="P129" i="9"/>
  <c r="G129" i="9"/>
  <c r="H78" i="9"/>
  <c r="H262" i="9" s="1"/>
  <c r="H61" i="9"/>
  <c r="G37" i="7"/>
  <c r="D37" i="7" s="1"/>
  <c r="F129" i="10" l="1"/>
  <c r="F130" i="10"/>
  <c r="G129" i="10"/>
  <c r="G39" i="7"/>
  <c r="G37" i="9"/>
  <c r="G37" i="6"/>
  <c r="H37" i="9"/>
  <c r="G37" i="10"/>
  <c r="M33" i="7"/>
  <c r="G37" i="1"/>
  <c r="K52" i="6" l="1"/>
  <c r="K50" i="6"/>
  <c r="K70" i="4"/>
  <c r="K52" i="4"/>
  <c r="K50" i="4"/>
  <c r="K50" i="1"/>
  <c r="K52" i="1"/>
  <c r="H263" i="10"/>
  <c r="I263" i="10"/>
  <c r="J263" i="10"/>
  <c r="K263" i="10"/>
  <c r="L263" i="10"/>
  <c r="M263" i="10"/>
  <c r="N263" i="10"/>
  <c r="O263" i="10"/>
  <c r="P263" i="10"/>
  <c r="Q263" i="10"/>
  <c r="R263" i="10"/>
  <c r="S263" i="10"/>
  <c r="T263" i="10"/>
  <c r="H266" i="10"/>
  <c r="J266" i="10"/>
  <c r="L266" i="10"/>
  <c r="N266" i="10"/>
  <c r="P266" i="10"/>
  <c r="Q266" i="10"/>
  <c r="R266" i="10"/>
  <c r="H267" i="10"/>
  <c r="J267" i="10"/>
  <c r="L267" i="10"/>
  <c r="N267" i="10"/>
  <c r="P267" i="10"/>
  <c r="Q267" i="10"/>
  <c r="R267" i="10"/>
  <c r="H272" i="10"/>
  <c r="J272" i="10"/>
  <c r="L272" i="10"/>
  <c r="N272" i="10"/>
  <c r="P272" i="10"/>
  <c r="Q272" i="10"/>
  <c r="R272" i="10"/>
  <c r="H273" i="10"/>
  <c r="J273" i="10"/>
  <c r="L273" i="10"/>
  <c r="N273" i="10"/>
  <c r="P273" i="10"/>
  <c r="Q273" i="10"/>
  <c r="R273" i="10"/>
  <c r="E263" i="10"/>
  <c r="H68" i="10"/>
  <c r="E68" i="10" s="1"/>
  <c r="H78" i="10"/>
  <c r="H262" i="10" s="1"/>
  <c r="N49" i="6" l="1"/>
  <c r="L49" i="6"/>
  <c r="J49" i="6"/>
  <c r="H49" i="6"/>
  <c r="G49" i="6"/>
  <c r="G33" i="5"/>
  <c r="H241" i="5"/>
  <c r="J241" i="5"/>
  <c r="L241" i="5"/>
  <c r="N241" i="5"/>
  <c r="P241" i="5"/>
  <c r="Q241" i="5"/>
  <c r="R241" i="5"/>
  <c r="H223" i="5"/>
  <c r="J223" i="5"/>
  <c r="L223" i="5"/>
  <c r="N223" i="5"/>
  <c r="P223" i="5"/>
  <c r="Q223" i="5"/>
  <c r="R223" i="5"/>
  <c r="H206" i="5"/>
  <c r="J206" i="5"/>
  <c r="L206" i="5"/>
  <c r="N206" i="5"/>
  <c r="P206" i="5"/>
  <c r="Q206" i="5"/>
  <c r="R206" i="5"/>
  <c r="H187" i="5"/>
  <c r="J187" i="5"/>
  <c r="L187" i="5"/>
  <c r="N187" i="5"/>
  <c r="P187" i="5"/>
  <c r="Q187" i="5"/>
  <c r="R187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P168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J86" i="5"/>
  <c r="L86" i="5"/>
  <c r="N86" i="5"/>
  <c r="P86" i="5"/>
  <c r="Q86" i="5"/>
  <c r="R86" i="5"/>
  <c r="H86" i="5"/>
  <c r="J78" i="5"/>
  <c r="L78" i="5"/>
  <c r="N78" i="5"/>
  <c r="P78" i="5"/>
  <c r="Q78" i="5"/>
  <c r="R78" i="5"/>
  <c r="H78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G65" i="5"/>
  <c r="H65" i="5"/>
  <c r="I65" i="5"/>
  <c r="J65" i="5"/>
  <c r="L65" i="5"/>
  <c r="M65" i="5"/>
  <c r="N65" i="5"/>
  <c r="O65" i="5"/>
  <c r="P65" i="5"/>
  <c r="Q65" i="5"/>
  <c r="R65" i="5"/>
  <c r="S65" i="5"/>
  <c r="T65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G68" i="5"/>
  <c r="H68" i="5"/>
  <c r="I68" i="5"/>
  <c r="J68" i="5"/>
  <c r="L68" i="5"/>
  <c r="M68" i="5"/>
  <c r="N68" i="5"/>
  <c r="O68" i="5"/>
  <c r="P68" i="5"/>
  <c r="Q68" i="5"/>
  <c r="R68" i="5"/>
  <c r="S68" i="5"/>
  <c r="T68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G44" i="5"/>
  <c r="H44" i="5"/>
  <c r="E44" i="5" s="1"/>
  <c r="I44" i="5"/>
  <c r="J44" i="5"/>
  <c r="K44" i="5"/>
  <c r="L44" i="5"/>
  <c r="M44" i="5"/>
  <c r="N44" i="5"/>
  <c r="O44" i="5"/>
  <c r="P44" i="5"/>
  <c r="Q44" i="5"/>
  <c r="R44" i="5"/>
  <c r="S44" i="5"/>
  <c r="T44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G34" i="5"/>
  <c r="H34" i="5"/>
  <c r="H262" i="5" s="1"/>
  <c r="I34" i="5"/>
  <c r="J34" i="5"/>
  <c r="K34" i="5"/>
  <c r="L34" i="5"/>
  <c r="M34" i="5"/>
  <c r="N34" i="5"/>
  <c r="N262" i="5" s="1"/>
  <c r="O34" i="5"/>
  <c r="P34" i="5"/>
  <c r="P262" i="5" s="1"/>
  <c r="Q34" i="5"/>
  <c r="R34" i="5"/>
  <c r="R262" i="5" s="1"/>
  <c r="S34" i="5"/>
  <c r="T34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G18" i="5"/>
  <c r="G19" i="5"/>
  <c r="G21" i="5"/>
  <c r="G26" i="5"/>
  <c r="G27" i="5"/>
  <c r="G28" i="5"/>
  <c r="G29" i="5"/>
  <c r="G30" i="5"/>
  <c r="G35" i="5"/>
  <c r="G37" i="5"/>
  <c r="G50" i="5"/>
  <c r="G77" i="5"/>
  <c r="G79" i="5"/>
  <c r="G80" i="5"/>
  <c r="G81" i="5"/>
  <c r="G82" i="5"/>
  <c r="D82" i="5" s="1"/>
  <c r="G83" i="5"/>
  <c r="G87" i="5"/>
  <c r="G88" i="5"/>
  <c r="G90" i="5"/>
  <c r="G91" i="5"/>
  <c r="D91" i="5" s="1"/>
  <c r="G92" i="5"/>
  <c r="G93" i="5"/>
  <c r="D93" i="5" s="1"/>
  <c r="G94" i="5"/>
  <c r="G95" i="5"/>
  <c r="D95" i="5" s="1"/>
  <c r="G96" i="5"/>
  <c r="G97" i="5"/>
  <c r="G98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9" i="5"/>
  <c r="G120" i="5"/>
  <c r="G121" i="5"/>
  <c r="G122" i="5"/>
  <c r="G123" i="5"/>
  <c r="D123" i="5" s="1"/>
  <c r="G126" i="5"/>
  <c r="G127" i="5"/>
  <c r="D127" i="5" s="1"/>
  <c r="G128" i="5"/>
  <c r="D128" i="5" s="1"/>
  <c r="G130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6" i="5"/>
  <c r="G167" i="5"/>
  <c r="G169" i="5"/>
  <c r="G170" i="5"/>
  <c r="G171" i="5"/>
  <c r="G172" i="5"/>
  <c r="D172" i="5" s="1"/>
  <c r="G173" i="5"/>
  <c r="G175" i="5"/>
  <c r="G176" i="5"/>
  <c r="G177" i="5"/>
  <c r="G178" i="5"/>
  <c r="G179" i="5"/>
  <c r="G181" i="5"/>
  <c r="G182" i="5"/>
  <c r="G183" i="5"/>
  <c r="G184" i="5"/>
  <c r="G185" i="5"/>
  <c r="G186" i="5"/>
  <c r="D186" i="5" s="1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S16" i="5"/>
  <c r="T16" i="5"/>
  <c r="R16" i="5" s="1"/>
  <c r="D40" i="5"/>
  <c r="D43" i="5"/>
  <c r="D45" i="5"/>
  <c r="D46" i="5"/>
  <c r="D52" i="5"/>
  <c r="D54" i="5"/>
  <c r="D56" i="5"/>
  <c r="D58" i="5"/>
  <c r="D60" i="5"/>
  <c r="D62" i="5"/>
  <c r="D64" i="5"/>
  <c r="D66" i="5"/>
  <c r="E72" i="5"/>
  <c r="E74" i="5"/>
  <c r="E76" i="5"/>
  <c r="E82" i="5"/>
  <c r="D83" i="5"/>
  <c r="E83" i="5"/>
  <c r="E90" i="5"/>
  <c r="E92" i="5"/>
  <c r="E94" i="5"/>
  <c r="E120" i="5"/>
  <c r="E123" i="5"/>
  <c r="D126" i="5"/>
  <c r="E126" i="5"/>
  <c r="E127" i="5"/>
  <c r="E128" i="5"/>
  <c r="E186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G17" i="5"/>
  <c r="J261" i="4"/>
  <c r="J260" i="4" s="1"/>
  <c r="Q261" i="4"/>
  <c r="Q260" i="4" s="1"/>
  <c r="H262" i="4"/>
  <c r="J262" i="4"/>
  <c r="L262" i="4"/>
  <c r="N262" i="4"/>
  <c r="P262" i="4"/>
  <c r="Q262" i="4"/>
  <c r="R262" i="4"/>
  <c r="S262" i="4"/>
  <c r="T262" i="4"/>
  <c r="L264" i="4"/>
  <c r="N264" i="4"/>
  <c r="P264" i="4"/>
  <c r="Q264" i="4"/>
  <c r="R264" i="4"/>
  <c r="S264" i="4"/>
  <c r="T264" i="4"/>
  <c r="L265" i="4"/>
  <c r="N265" i="4"/>
  <c r="P265" i="4"/>
  <c r="Q265" i="4"/>
  <c r="R265" i="4"/>
  <c r="S265" i="4"/>
  <c r="T265" i="4"/>
  <c r="H266" i="4"/>
  <c r="J266" i="4"/>
  <c r="L266" i="4"/>
  <c r="N266" i="4"/>
  <c r="P266" i="4"/>
  <c r="Q266" i="4"/>
  <c r="R266" i="4"/>
  <c r="H267" i="4"/>
  <c r="J267" i="4"/>
  <c r="L267" i="4"/>
  <c r="N267" i="4"/>
  <c r="P267" i="4"/>
  <c r="Q267" i="4"/>
  <c r="R267" i="4"/>
  <c r="H268" i="4"/>
  <c r="J268" i="4"/>
  <c r="L268" i="4"/>
  <c r="N268" i="4"/>
  <c r="P268" i="4"/>
  <c r="Q268" i="4"/>
  <c r="R268" i="4"/>
  <c r="H269" i="4"/>
  <c r="J269" i="4"/>
  <c r="L269" i="4"/>
  <c r="N269" i="4"/>
  <c r="P269" i="4"/>
  <c r="Q269" i="4"/>
  <c r="R269" i="4"/>
  <c r="H271" i="4"/>
  <c r="J271" i="4"/>
  <c r="L271" i="4"/>
  <c r="N271" i="4"/>
  <c r="P271" i="4"/>
  <c r="Q271" i="4"/>
  <c r="R271" i="4"/>
  <c r="H272" i="4"/>
  <c r="J272" i="4"/>
  <c r="L272" i="4"/>
  <c r="N272" i="4"/>
  <c r="P272" i="4"/>
  <c r="Q272" i="4"/>
  <c r="R272" i="4"/>
  <c r="H273" i="4"/>
  <c r="J273" i="4"/>
  <c r="L273" i="4"/>
  <c r="N273" i="4"/>
  <c r="P273" i="4"/>
  <c r="Q273" i="4"/>
  <c r="R273" i="4"/>
  <c r="H274" i="4"/>
  <c r="J274" i="4"/>
  <c r="L274" i="4"/>
  <c r="N274" i="4"/>
  <c r="P274" i="4"/>
  <c r="Q274" i="4"/>
  <c r="R274" i="4"/>
  <c r="E239" i="4"/>
  <c r="H86" i="4"/>
  <c r="E86" i="4" s="1"/>
  <c r="I86" i="4"/>
  <c r="J86" i="4"/>
  <c r="J85" i="4" s="1"/>
  <c r="J84" i="4" s="1"/>
  <c r="J264" i="4" s="1"/>
  <c r="H89" i="4"/>
  <c r="E89" i="4" s="1"/>
  <c r="I89" i="4"/>
  <c r="J89" i="4"/>
  <c r="K89" i="4"/>
  <c r="N49" i="4"/>
  <c r="N48" i="4" s="1"/>
  <c r="N47" i="4" s="1"/>
  <c r="O49" i="4"/>
  <c r="P49" i="4"/>
  <c r="P48" i="4" s="1"/>
  <c r="P47" i="4" s="1"/>
  <c r="Q49" i="4"/>
  <c r="Q48" i="4" s="1"/>
  <c r="Q47" i="4" s="1"/>
  <c r="R49" i="4"/>
  <c r="R48" i="4" s="1"/>
  <c r="R47" i="4" s="1"/>
  <c r="R259" i="4" s="1"/>
  <c r="H49" i="4"/>
  <c r="H48" i="4" s="1"/>
  <c r="I49" i="4"/>
  <c r="J49" i="4"/>
  <c r="J48" i="4" s="1"/>
  <c r="L49" i="4"/>
  <c r="L48" i="4" s="1"/>
  <c r="L47" i="4" s="1"/>
  <c r="H36" i="4"/>
  <c r="I36" i="4"/>
  <c r="I32" i="4"/>
  <c r="I31" i="4" s="1"/>
  <c r="J32" i="4"/>
  <c r="J31" i="4" s="1"/>
  <c r="K32" i="4"/>
  <c r="L32" i="4"/>
  <c r="L31" i="4" s="1"/>
  <c r="M32" i="4"/>
  <c r="N32" i="4"/>
  <c r="N31" i="4" s="1"/>
  <c r="O32" i="4"/>
  <c r="P32" i="4"/>
  <c r="P31" i="4" s="1"/>
  <c r="P259" i="4" s="1"/>
  <c r="Q32" i="4"/>
  <c r="Q31" i="4" s="1"/>
  <c r="Q259" i="4" s="1"/>
  <c r="H32" i="4"/>
  <c r="H20" i="4"/>
  <c r="E20" i="4" s="1"/>
  <c r="I20" i="4"/>
  <c r="D18" i="4"/>
  <c r="E18" i="4"/>
  <c r="D19" i="4"/>
  <c r="E19" i="4"/>
  <c r="D21" i="4"/>
  <c r="E2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3" i="4"/>
  <c r="E33" i="4"/>
  <c r="D34" i="4"/>
  <c r="E34" i="4"/>
  <c r="D35" i="4"/>
  <c r="E35" i="4"/>
  <c r="D37" i="4"/>
  <c r="E37" i="4"/>
  <c r="D38" i="4"/>
  <c r="E38" i="4"/>
  <c r="D39" i="4"/>
  <c r="E39" i="4"/>
  <c r="D40" i="4"/>
  <c r="E40" i="4"/>
  <c r="D41" i="4"/>
  <c r="E41" i="4"/>
  <c r="D42" i="4"/>
  <c r="E42" i="4"/>
  <c r="D43" i="4"/>
  <c r="E43" i="4"/>
  <c r="D44" i="4"/>
  <c r="E44" i="4"/>
  <c r="D45" i="4"/>
  <c r="E45" i="4"/>
  <c r="D46" i="4"/>
  <c r="E46" i="4"/>
  <c r="D50" i="4"/>
  <c r="E50" i="4"/>
  <c r="D51" i="4"/>
  <c r="E51" i="4"/>
  <c r="D52" i="4"/>
  <c r="E52" i="4"/>
  <c r="D53" i="4"/>
  <c r="E53" i="4"/>
  <c r="D54" i="4"/>
  <c r="E54" i="4"/>
  <c r="E55" i="4"/>
  <c r="D56" i="4"/>
  <c r="E56" i="4"/>
  <c r="D57" i="4"/>
  <c r="E57" i="4"/>
  <c r="D58" i="4"/>
  <c r="E58" i="4"/>
  <c r="D59" i="4"/>
  <c r="E59" i="4"/>
  <c r="D60" i="4"/>
  <c r="E60" i="4"/>
  <c r="D61" i="4"/>
  <c r="E61" i="4"/>
  <c r="D62" i="4"/>
  <c r="E62" i="4"/>
  <c r="D63" i="4"/>
  <c r="E63" i="4"/>
  <c r="D64" i="4"/>
  <c r="E64" i="4"/>
  <c r="E65" i="4"/>
  <c r="D66" i="4"/>
  <c r="E66" i="4"/>
  <c r="D67" i="4"/>
  <c r="E67" i="4"/>
  <c r="E68" i="4"/>
  <c r="D69" i="4"/>
  <c r="E69" i="4"/>
  <c r="D70" i="4"/>
  <c r="E70" i="4"/>
  <c r="D71" i="4"/>
  <c r="E71" i="4"/>
  <c r="D72" i="4"/>
  <c r="E72" i="4"/>
  <c r="D73" i="4"/>
  <c r="E73" i="4"/>
  <c r="D74" i="4"/>
  <c r="E74" i="4"/>
  <c r="E75" i="4"/>
  <c r="D76" i="4"/>
  <c r="E76" i="4"/>
  <c r="D77" i="4"/>
  <c r="E77" i="4"/>
  <c r="E78" i="4"/>
  <c r="D79" i="4"/>
  <c r="E79" i="4"/>
  <c r="D80" i="4"/>
  <c r="E80" i="4"/>
  <c r="D81" i="4"/>
  <c r="E81" i="4"/>
  <c r="D82" i="4"/>
  <c r="E82" i="4"/>
  <c r="D83" i="4"/>
  <c r="E83" i="4"/>
  <c r="D87" i="4"/>
  <c r="E87" i="4"/>
  <c r="D88" i="4"/>
  <c r="E88" i="4"/>
  <c r="D90" i="4"/>
  <c r="E90" i="4"/>
  <c r="D91" i="4"/>
  <c r="E91" i="4"/>
  <c r="D92" i="4"/>
  <c r="E92" i="4"/>
  <c r="D93" i="4"/>
  <c r="E93" i="4"/>
  <c r="D94" i="4"/>
  <c r="E94" i="4"/>
  <c r="D95" i="4"/>
  <c r="E95" i="4"/>
  <c r="D96" i="4"/>
  <c r="E96" i="4"/>
  <c r="D97" i="4"/>
  <c r="E97" i="4"/>
  <c r="D98" i="4"/>
  <c r="E98" i="4"/>
  <c r="E99" i="4"/>
  <c r="D100" i="4"/>
  <c r="E100" i="4"/>
  <c r="D101" i="4"/>
  <c r="E101" i="4"/>
  <c r="D102" i="4"/>
  <c r="E102" i="4"/>
  <c r="D103" i="4"/>
  <c r="E103" i="4"/>
  <c r="D104" i="4"/>
  <c r="E104" i="4"/>
  <c r="D105" i="4"/>
  <c r="E105" i="4"/>
  <c r="D106" i="4"/>
  <c r="E106" i="4"/>
  <c r="D107" i="4"/>
  <c r="E107" i="4"/>
  <c r="D108" i="4"/>
  <c r="E108" i="4"/>
  <c r="D109" i="4"/>
  <c r="E109" i="4"/>
  <c r="D110" i="4"/>
  <c r="E110" i="4"/>
  <c r="D111" i="4"/>
  <c r="E111" i="4"/>
  <c r="D112" i="4"/>
  <c r="E112" i="4"/>
  <c r="D113" i="4"/>
  <c r="E113" i="4"/>
  <c r="D114" i="4"/>
  <c r="E114" i="4"/>
  <c r="D115" i="4"/>
  <c r="E115" i="4"/>
  <c r="D116" i="4"/>
  <c r="E116" i="4"/>
  <c r="D117" i="4"/>
  <c r="E117" i="4"/>
  <c r="D119" i="4"/>
  <c r="E119" i="4"/>
  <c r="D120" i="4"/>
  <c r="E120" i="4"/>
  <c r="D121" i="4"/>
  <c r="E121" i="4"/>
  <c r="D122" i="4"/>
  <c r="E122" i="4"/>
  <c r="D123" i="4"/>
  <c r="E123" i="4"/>
  <c r="D126" i="4"/>
  <c r="E126" i="4"/>
  <c r="D127" i="4"/>
  <c r="E127" i="4"/>
  <c r="D128" i="4"/>
  <c r="E128" i="4"/>
  <c r="D130" i="4"/>
  <c r="E130" i="4"/>
  <c r="D136" i="4"/>
  <c r="E136" i="4"/>
  <c r="D137" i="4"/>
  <c r="E137" i="4"/>
  <c r="D138" i="4"/>
  <c r="E138" i="4"/>
  <c r="D139" i="4"/>
  <c r="E139" i="4"/>
  <c r="D140" i="4"/>
  <c r="E140" i="4"/>
  <c r="D141" i="4"/>
  <c r="E141" i="4"/>
  <c r="D142" i="4"/>
  <c r="E142" i="4"/>
  <c r="D143" i="4"/>
  <c r="E143" i="4"/>
  <c r="D144" i="4"/>
  <c r="E144" i="4"/>
  <c r="D145" i="4"/>
  <c r="E145" i="4"/>
  <c r="D146" i="4"/>
  <c r="E146" i="4"/>
  <c r="D147" i="4"/>
  <c r="E147" i="4"/>
  <c r="D148" i="4"/>
  <c r="E148" i="4"/>
  <c r="D149" i="4"/>
  <c r="E149" i="4"/>
  <c r="D150" i="4"/>
  <c r="E150" i="4"/>
  <c r="D151" i="4"/>
  <c r="E151" i="4"/>
  <c r="D152" i="4"/>
  <c r="E152" i="4"/>
  <c r="D153" i="4"/>
  <c r="E153" i="4"/>
  <c r="D154" i="4"/>
  <c r="E154" i="4"/>
  <c r="D155" i="4"/>
  <c r="E155" i="4"/>
  <c r="D156" i="4"/>
  <c r="E156" i="4"/>
  <c r="D157" i="4"/>
  <c r="E157" i="4"/>
  <c r="D158" i="4"/>
  <c r="E158" i="4"/>
  <c r="D159" i="4"/>
  <c r="E159" i="4"/>
  <c r="D160" i="4"/>
  <c r="E160" i="4"/>
  <c r="D161" i="4"/>
  <c r="E161" i="4"/>
  <c r="D162" i="4"/>
  <c r="E162" i="4"/>
  <c r="D163" i="4"/>
  <c r="E163" i="4"/>
  <c r="D164" i="4"/>
  <c r="E164" i="4"/>
  <c r="D166" i="4"/>
  <c r="E166" i="4"/>
  <c r="D167" i="4"/>
  <c r="E167" i="4"/>
  <c r="D169" i="4"/>
  <c r="E169" i="4"/>
  <c r="D170" i="4"/>
  <c r="E170" i="4"/>
  <c r="D171" i="4"/>
  <c r="E171" i="4"/>
  <c r="D172" i="4"/>
  <c r="E172" i="4"/>
  <c r="D173" i="4"/>
  <c r="E173" i="4"/>
  <c r="D175" i="4"/>
  <c r="E175" i="4"/>
  <c r="D176" i="4"/>
  <c r="E176" i="4"/>
  <c r="D177" i="4"/>
  <c r="E177" i="4"/>
  <c r="D178" i="4"/>
  <c r="E178" i="4"/>
  <c r="D179" i="4"/>
  <c r="E179" i="4"/>
  <c r="D181" i="4"/>
  <c r="E181" i="4"/>
  <c r="D182" i="4"/>
  <c r="E182" i="4"/>
  <c r="D183" i="4"/>
  <c r="E183" i="4"/>
  <c r="D184" i="4"/>
  <c r="E184" i="4"/>
  <c r="D185" i="4"/>
  <c r="E185" i="4"/>
  <c r="D186" i="4"/>
  <c r="E186" i="4"/>
  <c r="D188" i="4"/>
  <c r="E188" i="4"/>
  <c r="D189" i="4"/>
  <c r="E189" i="4"/>
  <c r="D190" i="4"/>
  <c r="E190" i="4"/>
  <c r="D191" i="4"/>
  <c r="E191" i="4"/>
  <c r="D192" i="4"/>
  <c r="E192" i="4"/>
  <c r="E193" i="4"/>
  <c r="D194" i="4"/>
  <c r="E194" i="4"/>
  <c r="D195" i="4"/>
  <c r="E195" i="4"/>
  <c r="D196" i="4"/>
  <c r="E196" i="4"/>
  <c r="D197" i="4"/>
  <c r="E197" i="4"/>
  <c r="D198" i="4"/>
  <c r="E198" i="4"/>
  <c r="D199" i="4"/>
  <c r="E199" i="4"/>
  <c r="D200" i="4"/>
  <c r="E200" i="4"/>
  <c r="D201" i="4"/>
  <c r="E201" i="4"/>
  <c r="D202" i="4"/>
  <c r="E202" i="4"/>
  <c r="D203" i="4"/>
  <c r="E203" i="4"/>
  <c r="D204" i="4"/>
  <c r="E204" i="4"/>
  <c r="D205" i="4"/>
  <c r="E205" i="4"/>
  <c r="D207" i="4"/>
  <c r="E207" i="4"/>
  <c r="D208" i="4"/>
  <c r="E208" i="4"/>
  <c r="D209" i="4"/>
  <c r="E209" i="4"/>
  <c r="D210" i="4"/>
  <c r="E210" i="4"/>
  <c r="D211" i="4"/>
  <c r="E211" i="4"/>
  <c r="D212" i="4"/>
  <c r="E212" i="4"/>
  <c r="D213" i="4"/>
  <c r="E213" i="4"/>
  <c r="D214" i="4"/>
  <c r="E214" i="4"/>
  <c r="D215" i="4"/>
  <c r="E215" i="4"/>
  <c r="D216" i="4"/>
  <c r="E216" i="4"/>
  <c r="D217" i="4"/>
  <c r="E217" i="4"/>
  <c r="D218" i="4"/>
  <c r="E218" i="4"/>
  <c r="D219" i="4"/>
  <c r="E219" i="4"/>
  <c r="D220" i="4"/>
  <c r="E220" i="4"/>
  <c r="D221" i="4"/>
  <c r="E221" i="4"/>
  <c r="D222" i="4"/>
  <c r="E222" i="4"/>
  <c r="D224" i="4"/>
  <c r="E224" i="4"/>
  <c r="D225" i="4"/>
  <c r="E225" i="4"/>
  <c r="D226" i="4"/>
  <c r="E226" i="4"/>
  <c r="D227" i="4"/>
  <c r="E227" i="4"/>
  <c r="D228" i="4"/>
  <c r="E228" i="4"/>
  <c r="D229" i="4"/>
  <c r="E229" i="4"/>
  <c r="D230" i="4"/>
  <c r="E230" i="4"/>
  <c r="D231" i="4"/>
  <c r="E231" i="4"/>
  <c r="D232" i="4"/>
  <c r="E232" i="4"/>
  <c r="D233" i="4"/>
  <c r="E233" i="4"/>
  <c r="D234" i="4"/>
  <c r="E234" i="4"/>
  <c r="D235" i="4"/>
  <c r="E235" i="4"/>
  <c r="D236" i="4"/>
  <c r="E236" i="4"/>
  <c r="D237" i="4"/>
  <c r="E237" i="4"/>
  <c r="D238" i="4"/>
  <c r="E238" i="4"/>
  <c r="D239" i="4"/>
  <c r="D240" i="4"/>
  <c r="E240" i="4"/>
  <c r="D242" i="4"/>
  <c r="E242" i="4"/>
  <c r="D243" i="4"/>
  <c r="E243" i="4"/>
  <c r="D244" i="4"/>
  <c r="E244" i="4"/>
  <c r="D245" i="4"/>
  <c r="E245" i="4"/>
  <c r="D246" i="4"/>
  <c r="E246" i="4"/>
  <c r="D247" i="4"/>
  <c r="E247" i="4"/>
  <c r="D248" i="4"/>
  <c r="E248" i="4"/>
  <c r="D249" i="4"/>
  <c r="E249" i="4"/>
  <c r="D250" i="4"/>
  <c r="E250" i="4"/>
  <c r="D251" i="4"/>
  <c r="E251" i="4"/>
  <c r="D252" i="4"/>
  <c r="E252" i="4"/>
  <c r="E253" i="4"/>
  <c r="E254" i="4"/>
  <c r="D255" i="4"/>
  <c r="E255" i="4"/>
  <c r="D256" i="4"/>
  <c r="E256" i="4"/>
  <c r="D257" i="4"/>
  <c r="E257" i="4"/>
  <c r="D258" i="4"/>
  <c r="E258" i="4"/>
  <c r="E17" i="4"/>
  <c r="D17" i="4"/>
  <c r="R259" i="1"/>
  <c r="J261" i="1"/>
  <c r="J260" i="1" s="1"/>
  <c r="P261" i="1"/>
  <c r="Q261" i="1"/>
  <c r="Q260" i="1" s="1"/>
  <c r="R261" i="1"/>
  <c r="H262" i="1"/>
  <c r="J262" i="1"/>
  <c r="L262" i="1"/>
  <c r="N262" i="1"/>
  <c r="P262" i="1"/>
  <c r="Q262" i="1"/>
  <c r="R262" i="1"/>
  <c r="R260" i="1" s="1"/>
  <c r="S262" i="1"/>
  <c r="T262" i="1"/>
  <c r="N264" i="1"/>
  <c r="P264" i="1"/>
  <c r="R264" i="1"/>
  <c r="J265" i="1"/>
  <c r="L265" i="1"/>
  <c r="N265" i="1"/>
  <c r="P265" i="1"/>
  <c r="Q265" i="1"/>
  <c r="R265" i="1"/>
  <c r="S265" i="1"/>
  <c r="T265" i="1"/>
  <c r="H266" i="1"/>
  <c r="J266" i="1"/>
  <c r="L266" i="1"/>
  <c r="N266" i="1"/>
  <c r="P266" i="1"/>
  <c r="Q266" i="1"/>
  <c r="R266" i="1"/>
  <c r="H267" i="1"/>
  <c r="J267" i="1"/>
  <c r="L267" i="1"/>
  <c r="N267" i="1"/>
  <c r="P267" i="1"/>
  <c r="Q267" i="1"/>
  <c r="R267" i="1"/>
  <c r="H268" i="1"/>
  <c r="J268" i="1"/>
  <c r="L268" i="1"/>
  <c r="N268" i="1"/>
  <c r="P268" i="1"/>
  <c r="Q268" i="1"/>
  <c r="R268" i="1"/>
  <c r="H269" i="1"/>
  <c r="J269" i="1"/>
  <c r="L269" i="1"/>
  <c r="N269" i="1"/>
  <c r="P269" i="1"/>
  <c r="Q269" i="1"/>
  <c r="R269" i="1"/>
  <c r="H271" i="1"/>
  <c r="J271" i="1"/>
  <c r="L271" i="1"/>
  <c r="N271" i="1"/>
  <c r="P271" i="1"/>
  <c r="Q271" i="1"/>
  <c r="R271" i="1"/>
  <c r="H272" i="1"/>
  <c r="J272" i="1"/>
  <c r="L272" i="1"/>
  <c r="N272" i="1"/>
  <c r="P272" i="1"/>
  <c r="Q272" i="1"/>
  <c r="R272" i="1"/>
  <c r="H273" i="1"/>
  <c r="J273" i="1"/>
  <c r="L273" i="1"/>
  <c r="N273" i="1"/>
  <c r="P273" i="1"/>
  <c r="Q273" i="1"/>
  <c r="R273" i="1"/>
  <c r="H274" i="1"/>
  <c r="J274" i="1"/>
  <c r="L274" i="1"/>
  <c r="N274" i="1"/>
  <c r="P274" i="1"/>
  <c r="Q274" i="1"/>
  <c r="R274" i="1"/>
  <c r="H86" i="1"/>
  <c r="I86" i="1"/>
  <c r="H89" i="1"/>
  <c r="N49" i="1"/>
  <c r="N48" i="1" s="1"/>
  <c r="N47" i="1" s="1"/>
  <c r="O49" i="1"/>
  <c r="H49" i="1"/>
  <c r="H48" i="1" s="1"/>
  <c r="I49" i="1"/>
  <c r="I261" i="1" s="1"/>
  <c r="J49" i="1"/>
  <c r="J48" i="1" s="1"/>
  <c r="J47" i="1" s="1"/>
  <c r="L49" i="1"/>
  <c r="L48" i="1" s="1"/>
  <c r="L47" i="1" s="1"/>
  <c r="E61" i="1"/>
  <c r="H36" i="1"/>
  <c r="I36" i="1"/>
  <c r="J36" i="1"/>
  <c r="J264" i="1" s="1"/>
  <c r="K36" i="1"/>
  <c r="L36" i="1"/>
  <c r="L264" i="1" s="1"/>
  <c r="I32" i="1"/>
  <c r="J32" i="1"/>
  <c r="K32" i="1"/>
  <c r="K31" i="1" s="1"/>
  <c r="L32" i="1"/>
  <c r="L31" i="1" s="1"/>
  <c r="M32" i="1"/>
  <c r="N32" i="1"/>
  <c r="N31" i="1" s="1"/>
  <c r="O32" i="1"/>
  <c r="P32" i="1"/>
  <c r="P31" i="1" s="1"/>
  <c r="P259" i="1" s="1"/>
  <c r="Q32" i="1"/>
  <c r="Q31" i="1" s="1"/>
  <c r="Q259" i="1" s="1"/>
  <c r="H32" i="1"/>
  <c r="D29" i="1"/>
  <c r="E29" i="1"/>
  <c r="D30" i="1"/>
  <c r="E30" i="1"/>
  <c r="D33" i="1"/>
  <c r="E33" i="1"/>
  <c r="D34" i="1"/>
  <c r="E34" i="1"/>
  <c r="D35" i="1"/>
  <c r="E35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50" i="1"/>
  <c r="E50" i="1"/>
  <c r="D51" i="1"/>
  <c r="E51" i="1"/>
  <c r="D52" i="1"/>
  <c r="E52" i="1"/>
  <c r="D53" i="1"/>
  <c r="E53" i="1"/>
  <c r="D54" i="1"/>
  <c r="E54" i="1"/>
  <c r="E55" i="1"/>
  <c r="D56" i="1"/>
  <c r="E56" i="1"/>
  <c r="D57" i="1"/>
  <c r="E57" i="1"/>
  <c r="D58" i="1"/>
  <c r="E58" i="1"/>
  <c r="D59" i="1"/>
  <c r="E59" i="1"/>
  <c r="D60" i="1"/>
  <c r="E60" i="1"/>
  <c r="D61" i="1"/>
  <c r="D62" i="1"/>
  <c r="E62" i="1"/>
  <c r="D63" i="1"/>
  <c r="E63" i="1"/>
  <c r="D64" i="1"/>
  <c r="E64" i="1"/>
  <c r="E65" i="1"/>
  <c r="D66" i="1"/>
  <c r="E66" i="1"/>
  <c r="D67" i="1"/>
  <c r="E67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E75" i="1"/>
  <c r="D76" i="1"/>
  <c r="E76" i="1"/>
  <c r="D77" i="1"/>
  <c r="E77" i="1"/>
  <c r="E78" i="1"/>
  <c r="D79" i="1"/>
  <c r="E79" i="1"/>
  <c r="D80" i="1"/>
  <c r="E80" i="1"/>
  <c r="D81" i="1"/>
  <c r="E81" i="1"/>
  <c r="D82" i="1"/>
  <c r="E82" i="1"/>
  <c r="D83" i="1"/>
  <c r="E83" i="1"/>
  <c r="E86" i="1"/>
  <c r="D87" i="1"/>
  <c r="E87" i="1"/>
  <c r="D88" i="1"/>
  <c r="E88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9" i="1"/>
  <c r="E119" i="1"/>
  <c r="D120" i="1"/>
  <c r="E120" i="1"/>
  <c r="D121" i="1"/>
  <c r="E121" i="1"/>
  <c r="D122" i="1"/>
  <c r="E122" i="1"/>
  <c r="D123" i="1"/>
  <c r="E123" i="1"/>
  <c r="D126" i="1"/>
  <c r="E126" i="1"/>
  <c r="D127" i="1"/>
  <c r="E127" i="1"/>
  <c r="D128" i="1"/>
  <c r="E128" i="1"/>
  <c r="D130" i="1"/>
  <c r="E130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6" i="1"/>
  <c r="E166" i="1"/>
  <c r="D167" i="1"/>
  <c r="E167" i="1"/>
  <c r="D169" i="1"/>
  <c r="E169" i="1"/>
  <c r="D170" i="1"/>
  <c r="E170" i="1"/>
  <c r="D171" i="1"/>
  <c r="E171" i="1"/>
  <c r="D172" i="1"/>
  <c r="E172" i="1"/>
  <c r="D173" i="1"/>
  <c r="E173" i="1"/>
  <c r="D175" i="1"/>
  <c r="E175" i="1"/>
  <c r="D176" i="1"/>
  <c r="E176" i="1"/>
  <c r="D177" i="1"/>
  <c r="E177" i="1"/>
  <c r="D178" i="1"/>
  <c r="E178" i="1"/>
  <c r="D179" i="1"/>
  <c r="E179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8" i="1"/>
  <c r="E188" i="1"/>
  <c r="D189" i="1"/>
  <c r="E189" i="1"/>
  <c r="D190" i="1"/>
  <c r="E190" i="1"/>
  <c r="D191" i="1"/>
  <c r="E191" i="1"/>
  <c r="D192" i="1"/>
  <c r="E192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18" i="1"/>
  <c r="E18" i="1"/>
  <c r="D19" i="1"/>
  <c r="E19" i="1"/>
  <c r="E16" i="1" s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E17" i="1"/>
  <c r="D17" i="1"/>
  <c r="D16" i="1" s="1"/>
  <c r="D17" i="6"/>
  <c r="H72" i="9"/>
  <c r="H68" i="9"/>
  <c r="H65" i="9"/>
  <c r="E65" i="9" s="1"/>
  <c r="F65" i="9" s="1"/>
  <c r="H55" i="9"/>
  <c r="E55" i="9" s="1"/>
  <c r="G55" i="9"/>
  <c r="G65" i="9"/>
  <c r="G68" i="9"/>
  <c r="D68" i="9" s="1"/>
  <c r="G72" i="9"/>
  <c r="G78" i="9"/>
  <c r="D39" i="9"/>
  <c r="E39" i="9"/>
  <c r="F39" i="9" s="1"/>
  <c r="D40" i="9"/>
  <c r="E40" i="9"/>
  <c r="D41" i="9"/>
  <c r="E41" i="9"/>
  <c r="D42" i="9"/>
  <c r="E42" i="9"/>
  <c r="D43" i="9"/>
  <c r="E43" i="9"/>
  <c r="F43" i="9" s="1"/>
  <c r="D44" i="9"/>
  <c r="E44" i="9"/>
  <c r="F44" i="9" s="1"/>
  <c r="D45" i="9"/>
  <c r="E45" i="9"/>
  <c r="D46" i="9"/>
  <c r="E46" i="9"/>
  <c r="F46" i="9" s="1"/>
  <c r="D50" i="9"/>
  <c r="E50" i="9"/>
  <c r="F50" i="9" s="1"/>
  <c r="D51" i="9"/>
  <c r="E51" i="9"/>
  <c r="F51" i="9" s="1"/>
  <c r="D52" i="9"/>
  <c r="E52" i="9"/>
  <c r="F52" i="9" s="1"/>
  <c r="D53" i="9"/>
  <c r="E53" i="9"/>
  <c r="F53" i="9" s="1"/>
  <c r="D54" i="9"/>
  <c r="E54" i="9"/>
  <c r="D55" i="9"/>
  <c r="D56" i="9"/>
  <c r="E56" i="9"/>
  <c r="D57" i="9"/>
  <c r="E57" i="9"/>
  <c r="D58" i="9"/>
  <c r="E58" i="9"/>
  <c r="D59" i="9"/>
  <c r="E59" i="9"/>
  <c r="D38" i="9"/>
  <c r="D17" i="7"/>
  <c r="E17" i="7"/>
  <c r="D18" i="7"/>
  <c r="E18" i="7"/>
  <c r="D19" i="7"/>
  <c r="E19" i="7"/>
  <c r="D21" i="7"/>
  <c r="E21" i="7"/>
  <c r="D22" i="7"/>
  <c r="E22" i="7"/>
  <c r="D23" i="7"/>
  <c r="E23" i="7"/>
  <c r="D24" i="7"/>
  <c r="E24" i="7"/>
  <c r="D25" i="7"/>
  <c r="E25" i="7"/>
  <c r="D26" i="7"/>
  <c r="E26" i="7"/>
  <c r="D27" i="7"/>
  <c r="E27" i="7"/>
  <c r="D28" i="7"/>
  <c r="E28" i="7"/>
  <c r="D29" i="7"/>
  <c r="E29" i="7"/>
  <c r="D30" i="7"/>
  <c r="E30" i="7"/>
  <c r="D33" i="7"/>
  <c r="E33" i="7"/>
  <c r="H262" i="7"/>
  <c r="J262" i="7"/>
  <c r="L262" i="7"/>
  <c r="N262" i="7"/>
  <c r="P262" i="7"/>
  <c r="Q262" i="7"/>
  <c r="R262" i="7"/>
  <c r="S262" i="7"/>
  <c r="T262" i="7"/>
  <c r="H263" i="7"/>
  <c r="J263" i="7"/>
  <c r="L263" i="7"/>
  <c r="N263" i="7"/>
  <c r="P263" i="7"/>
  <c r="Q263" i="7"/>
  <c r="Q260" i="7" s="1"/>
  <c r="R263" i="7"/>
  <c r="S263" i="7"/>
  <c r="T263" i="7"/>
  <c r="L264" i="7"/>
  <c r="L265" i="7"/>
  <c r="N265" i="7"/>
  <c r="P265" i="7"/>
  <c r="R265" i="7"/>
  <c r="H266" i="7"/>
  <c r="J266" i="7"/>
  <c r="L266" i="7"/>
  <c r="N266" i="7"/>
  <c r="P266" i="7"/>
  <c r="Q266" i="7"/>
  <c r="R266" i="7"/>
  <c r="H267" i="7"/>
  <c r="J267" i="7"/>
  <c r="L267" i="7"/>
  <c r="N267" i="7"/>
  <c r="P267" i="7"/>
  <c r="Q267" i="7"/>
  <c r="R267" i="7"/>
  <c r="J268" i="7"/>
  <c r="L268" i="7"/>
  <c r="N268" i="7"/>
  <c r="P268" i="7"/>
  <c r="Q268" i="7"/>
  <c r="R268" i="7"/>
  <c r="H269" i="7"/>
  <c r="J269" i="7"/>
  <c r="L269" i="7"/>
  <c r="N269" i="7"/>
  <c r="P269" i="7"/>
  <c r="Q269" i="7"/>
  <c r="R269" i="7"/>
  <c r="H271" i="7"/>
  <c r="J271" i="7"/>
  <c r="L271" i="7"/>
  <c r="N271" i="7"/>
  <c r="P271" i="7"/>
  <c r="Q271" i="7"/>
  <c r="R271" i="7"/>
  <c r="H272" i="7"/>
  <c r="J272" i="7"/>
  <c r="L272" i="7"/>
  <c r="N272" i="7"/>
  <c r="P272" i="7"/>
  <c r="Q272" i="7"/>
  <c r="R272" i="7"/>
  <c r="H273" i="7"/>
  <c r="J273" i="7"/>
  <c r="L273" i="7"/>
  <c r="N273" i="7"/>
  <c r="P273" i="7"/>
  <c r="Q273" i="7"/>
  <c r="R273" i="7"/>
  <c r="T273" i="7"/>
  <c r="H274" i="7"/>
  <c r="J274" i="7"/>
  <c r="L274" i="7"/>
  <c r="N274" i="7"/>
  <c r="P274" i="7"/>
  <c r="Q274" i="7"/>
  <c r="R274" i="7"/>
  <c r="G262" i="7"/>
  <c r="E223" i="7"/>
  <c r="T206" i="7"/>
  <c r="T272" i="7" s="1"/>
  <c r="E200" i="7"/>
  <c r="H174" i="7"/>
  <c r="H268" i="7" s="1"/>
  <c r="I174" i="7"/>
  <c r="I268" i="7" s="1"/>
  <c r="H89" i="7"/>
  <c r="E89" i="7" s="1"/>
  <c r="I89" i="7"/>
  <c r="J89" i="7"/>
  <c r="J85" i="7" s="1"/>
  <c r="J84" i="7" s="1"/>
  <c r="H86" i="7"/>
  <c r="E86" i="7" s="1"/>
  <c r="I86" i="7"/>
  <c r="E68" i="7"/>
  <c r="E65" i="7"/>
  <c r="E52" i="7"/>
  <c r="E61" i="7"/>
  <c r="E34" i="7"/>
  <c r="E35" i="7"/>
  <c r="E37" i="7"/>
  <c r="E38" i="7"/>
  <c r="E39" i="7"/>
  <c r="E40" i="7"/>
  <c r="E41" i="7"/>
  <c r="E42" i="7"/>
  <c r="E43" i="7"/>
  <c r="E44" i="7"/>
  <c r="E45" i="7"/>
  <c r="E46" i="7"/>
  <c r="E50" i="7"/>
  <c r="E51" i="7"/>
  <c r="E53" i="7"/>
  <c r="E54" i="7"/>
  <c r="E55" i="7"/>
  <c r="E56" i="7"/>
  <c r="E57" i="7"/>
  <c r="E58" i="7"/>
  <c r="E59" i="7"/>
  <c r="E60" i="7"/>
  <c r="E62" i="7"/>
  <c r="E63" i="7"/>
  <c r="E64" i="7"/>
  <c r="E66" i="7"/>
  <c r="E67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7" i="7"/>
  <c r="E88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9" i="7"/>
  <c r="E120" i="7"/>
  <c r="E121" i="7"/>
  <c r="E122" i="7"/>
  <c r="E123" i="7"/>
  <c r="E124" i="7"/>
  <c r="E126" i="7"/>
  <c r="E128" i="7"/>
  <c r="E130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6" i="7"/>
  <c r="E167" i="7"/>
  <c r="E169" i="7"/>
  <c r="E170" i="7"/>
  <c r="E171" i="7"/>
  <c r="E172" i="7"/>
  <c r="E173" i="7"/>
  <c r="E175" i="7"/>
  <c r="E176" i="7"/>
  <c r="E177" i="7"/>
  <c r="E178" i="7"/>
  <c r="E179" i="7"/>
  <c r="E181" i="7"/>
  <c r="E182" i="7"/>
  <c r="E183" i="7"/>
  <c r="E184" i="7"/>
  <c r="E185" i="7"/>
  <c r="E186" i="7"/>
  <c r="E188" i="7"/>
  <c r="E189" i="7"/>
  <c r="E190" i="7"/>
  <c r="E191" i="7"/>
  <c r="E192" i="7"/>
  <c r="E194" i="7"/>
  <c r="E196" i="7"/>
  <c r="E197" i="7"/>
  <c r="E198" i="7"/>
  <c r="E199" i="7"/>
  <c r="E201" i="7"/>
  <c r="E202" i="7"/>
  <c r="E203" i="7"/>
  <c r="E204" i="7"/>
  <c r="E205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D34" i="7"/>
  <c r="D35" i="7"/>
  <c r="D38" i="7"/>
  <c r="D39" i="7"/>
  <c r="D40" i="7"/>
  <c r="D41" i="7"/>
  <c r="D42" i="7"/>
  <c r="D43" i="7"/>
  <c r="D44" i="7"/>
  <c r="D45" i="7"/>
  <c r="D46" i="7"/>
  <c r="D50" i="7"/>
  <c r="D51" i="7"/>
  <c r="D52" i="7"/>
  <c r="D53" i="7"/>
  <c r="D54" i="7"/>
  <c r="D55" i="7"/>
  <c r="D56" i="7"/>
  <c r="D57" i="7"/>
  <c r="D58" i="7"/>
  <c r="D59" i="7"/>
  <c r="D60" i="7"/>
  <c r="D62" i="7"/>
  <c r="D63" i="7"/>
  <c r="D64" i="7"/>
  <c r="D66" i="7"/>
  <c r="D67" i="7"/>
  <c r="D69" i="7"/>
  <c r="D70" i="7"/>
  <c r="D71" i="7"/>
  <c r="D72" i="7"/>
  <c r="D73" i="7"/>
  <c r="D74" i="7"/>
  <c r="D75" i="7"/>
  <c r="D76" i="7"/>
  <c r="D77" i="7"/>
  <c r="D79" i="7"/>
  <c r="D80" i="7"/>
  <c r="D81" i="7"/>
  <c r="D83" i="7"/>
  <c r="D87" i="7"/>
  <c r="D88" i="7"/>
  <c r="D90" i="7"/>
  <c r="D92" i="7"/>
  <c r="D93" i="7"/>
  <c r="D94" i="7"/>
  <c r="D95" i="7"/>
  <c r="D96" i="7"/>
  <c r="D97" i="7"/>
  <c r="D98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9" i="7"/>
  <c r="D120" i="7"/>
  <c r="D121" i="7"/>
  <c r="D122" i="7"/>
  <c r="D123" i="7"/>
  <c r="D130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6" i="7"/>
  <c r="D167" i="7"/>
  <c r="D169" i="7"/>
  <c r="D170" i="7"/>
  <c r="D171" i="7"/>
  <c r="D172" i="7"/>
  <c r="D173" i="7"/>
  <c r="D175" i="7"/>
  <c r="D176" i="7"/>
  <c r="D177" i="7"/>
  <c r="D178" i="7"/>
  <c r="D179" i="7"/>
  <c r="D181" i="7"/>
  <c r="D182" i="7"/>
  <c r="D183" i="7"/>
  <c r="D184" i="7"/>
  <c r="D185" i="7"/>
  <c r="D186" i="7"/>
  <c r="D188" i="7"/>
  <c r="D189" i="7"/>
  <c r="D190" i="7"/>
  <c r="D191" i="7"/>
  <c r="D192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S241" i="6"/>
  <c r="T241" i="6"/>
  <c r="T274" i="6" s="1"/>
  <c r="E240" i="6"/>
  <c r="E193" i="6"/>
  <c r="H78" i="6"/>
  <c r="H262" i="6" s="1"/>
  <c r="E63" i="6"/>
  <c r="H36" i="6"/>
  <c r="I36" i="6"/>
  <c r="J36" i="6"/>
  <c r="K36" i="6"/>
  <c r="L36" i="6"/>
  <c r="M36" i="6"/>
  <c r="N36" i="6"/>
  <c r="G36" i="6"/>
  <c r="G49" i="7"/>
  <c r="H49" i="7"/>
  <c r="H48" i="7" s="1"/>
  <c r="Q48" i="7"/>
  <c r="Q47" i="7" s="1"/>
  <c r="J49" i="7"/>
  <c r="J48" i="7" s="1"/>
  <c r="L49" i="7"/>
  <c r="L48" i="7" s="1"/>
  <c r="L47" i="7" s="1"/>
  <c r="M49" i="7"/>
  <c r="N49" i="7"/>
  <c r="N48" i="7" s="1"/>
  <c r="N47" i="7" s="1"/>
  <c r="P49" i="7"/>
  <c r="P48" i="7" s="1"/>
  <c r="P47" i="7" s="1"/>
  <c r="Q49" i="7"/>
  <c r="Q261" i="7" s="1"/>
  <c r="R49" i="7"/>
  <c r="R48" i="7" s="1"/>
  <c r="R47" i="7" s="1"/>
  <c r="S49" i="7"/>
  <c r="S48" i="7" s="1"/>
  <c r="T49" i="7"/>
  <c r="T48" i="7" s="1"/>
  <c r="J36" i="7"/>
  <c r="K36" i="7"/>
  <c r="L36" i="7"/>
  <c r="M36" i="7"/>
  <c r="N36" i="7"/>
  <c r="O36" i="7"/>
  <c r="P36" i="7"/>
  <c r="Q36" i="7"/>
  <c r="R36" i="7"/>
  <c r="S36" i="7"/>
  <c r="T36" i="7"/>
  <c r="T31" i="7" s="1"/>
  <c r="G36" i="7"/>
  <c r="H36" i="7"/>
  <c r="N32" i="7"/>
  <c r="N31" i="7" s="1"/>
  <c r="O32" i="7"/>
  <c r="P32" i="7"/>
  <c r="Q32" i="7"/>
  <c r="R32" i="7"/>
  <c r="R31" i="7" s="1"/>
  <c r="S32" i="7"/>
  <c r="S31" i="7" s="1"/>
  <c r="G32" i="7"/>
  <c r="H32" i="7"/>
  <c r="I32" i="7"/>
  <c r="J32" i="7"/>
  <c r="J31" i="7" s="1"/>
  <c r="K32" i="7"/>
  <c r="L32" i="7"/>
  <c r="G20" i="7"/>
  <c r="H20" i="7"/>
  <c r="J20" i="7"/>
  <c r="J264" i="7" s="1"/>
  <c r="K20" i="7"/>
  <c r="L20" i="7"/>
  <c r="M20" i="7"/>
  <c r="N20" i="7"/>
  <c r="N264" i="7" s="1"/>
  <c r="O20" i="7"/>
  <c r="P20" i="7"/>
  <c r="P264" i="7" s="1"/>
  <c r="Q20" i="7"/>
  <c r="R20" i="7"/>
  <c r="R264" i="7" s="1"/>
  <c r="S20" i="7"/>
  <c r="T20" i="7"/>
  <c r="J15" i="7"/>
  <c r="L15" i="7"/>
  <c r="N15" i="7"/>
  <c r="P15" i="7"/>
  <c r="R15" i="7"/>
  <c r="S15" i="7"/>
  <c r="Q31" i="9"/>
  <c r="G32" i="9"/>
  <c r="H32" i="9"/>
  <c r="I32" i="9"/>
  <c r="J32" i="9"/>
  <c r="J31" i="9" s="1"/>
  <c r="K32" i="9"/>
  <c r="L32" i="9"/>
  <c r="M32" i="9"/>
  <c r="N32" i="9"/>
  <c r="N31" i="9" s="1"/>
  <c r="P32" i="9"/>
  <c r="Q32" i="9"/>
  <c r="R32" i="9"/>
  <c r="S32" i="9"/>
  <c r="S31" i="9" s="1"/>
  <c r="T32" i="9"/>
  <c r="G36" i="9"/>
  <c r="H36" i="9"/>
  <c r="I36" i="9"/>
  <c r="J36" i="9"/>
  <c r="K36" i="9"/>
  <c r="L36" i="9"/>
  <c r="L31" i="9" s="1"/>
  <c r="M36" i="9"/>
  <c r="N36" i="9"/>
  <c r="P36" i="9"/>
  <c r="Q36" i="9"/>
  <c r="R36" i="9"/>
  <c r="S36" i="9"/>
  <c r="T36" i="9"/>
  <c r="G49" i="9"/>
  <c r="G48" i="9" s="1"/>
  <c r="H49" i="9"/>
  <c r="I49" i="9"/>
  <c r="I261" i="9" s="1"/>
  <c r="J49" i="9"/>
  <c r="J261" i="9" s="1"/>
  <c r="K49" i="9"/>
  <c r="L49" i="9"/>
  <c r="L261" i="9" s="1"/>
  <c r="N49" i="9"/>
  <c r="N261" i="9" s="1"/>
  <c r="O49" i="9"/>
  <c r="P49" i="9"/>
  <c r="Q49" i="9"/>
  <c r="R49" i="9"/>
  <c r="S49" i="9"/>
  <c r="T49" i="9"/>
  <c r="G82" i="9"/>
  <c r="H82" i="9"/>
  <c r="H263" i="9" s="1"/>
  <c r="I82" i="9"/>
  <c r="I263" i="9" s="1"/>
  <c r="J82" i="9"/>
  <c r="J263" i="9" s="1"/>
  <c r="K82" i="9"/>
  <c r="K263" i="9" s="1"/>
  <c r="L82" i="9"/>
  <c r="L263" i="9" s="1"/>
  <c r="M82" i="9"/>
  <c r="M263" i="9" s="1"/>
  <c r="N82" i="9"/>
  <c r="N263" i="9" s="1"/>
  <c r="P82" i="9"/>
  <c r="P263" i="9" s="1"/>
  <c r="Q82" i="9"/>
  <c r="Q263" i="9" s="1"/>
  <c r="R82" i="9"/>
  <c r="R263" i="9" s="1"/>
  <c r="S82" i="9"/>
  <c r="S263" i="9" s="1"/>
  <c r="T82" i="9"/>
  <c r="T263" i="9" s="1"/>
  <c r="I78" i="9"/>
  <c r="I262" i="9" s="1"/>
  <c r="J78" i="9"/>
  <c r="J262" i="9" s="1"/>
  <c r="J260" i="9" s="1"/>
  <c r="K78" i="9"/>
  <c r="K262" i="9" s="1"/>
  <c r="L78" i="9"/>
  <c r="L262" i="9" s="1"/>
  <c r="M78" i="9"/>
  <c r="M262" i="9" s="1"/>
  <c r="N78" i="9"/>
  <c r="N262" i="9" s="1"/>
  <c r="P78" i="9"/>
  <c r="P262" i="9" s="1"/>
  <c r="Q78" i="9"/>
  <c r="Q262" i="9" s="1"/>
  <c r="R78" i="9"/>
  <c r="R262" i="9" s="1"/>
  <c r="S78" i="9"/>
  <c r="S262" i="9" s="1"/>
  <c r="T78" i="9"/>
  <c r="T262" i="9" s="1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G99" i="9"/>
  <c r="H99" i="9"/>
  <c r="I99" i="9"/>
  <c r="J99" i="9"/>
  <c r="K99" i="9"/>
  <c r="L99" i="9"/>
  <c r="M99" i="9"/>
  <c r="N99" i="9"/>
  <c r="O99" i="9"/>
  <c r="P99" i="9"/>
  <c r="Q99" i="9"/>
  <c r="R99" i="9"/>
  <c r="S99" i="9"/>
  <c r="T99" i="9"/>
  <c r="H123" i="9"/>
  <c r="I123" i="9"/>
  <c r="J123" i="9"/>
  <c r="J85" i="9" s="1"/>
  <c r="J265" i="9" s="1"/>
  <c r="K123" i="9"/>
  <c r="L123" i="9"/>
  <c r="M123" i="9"/>
  <c r="N123" i="9"/>
  <c r="O123" i="9"/>
  <c r="P123" i="9"/>
  <c r="Q123" i="9"/>
  <c r="R123" i="9"/>
  <c r="E124" i="9"/>
  <c r="E126" i="9"/>
  <c r="E128" i="9"/>
  <c r="E130" i="9"/>
  <c r="Q129" i="9"/>
  <c r="R129" i="9"/>
  <c r="G135" i="9"/>
  <c r="H135" i="9"/>
  <c r="I135" i="9"/>
  <c r="J135" i="9"/>
  <c r="K135" i="9"/>
  <c r="L135" i="9"/>
  <c r="M135" i="9"/>
  <c r="N135" i="9"/>
  <c r="O135" i="9"/>
  <c r="P135" i="9"/>
  <c r="Q135" i="9"/>
  <c r="R135" i="9"/>
  <c r="G165" i="9"/>
  <c r="H165" i="9"/>
  <c r="H266" i="9" s="1"/>
  <c r="I165" i="9"/>
  <c r="I266" i="9" s="1"/>
  <c r="J165" i="9"/>
  <c r="J266" i="9" s="1"/>
  <c r="K165" i="9"/>
  <c r="K266" i="9" s="1"/>
  <c r="L165" i="9"/>
  <c r="L266" i="9" s="1"/>
  <c r="M165" i="9"/>
  <c r="M266" i="9" s="1"/>
  <c r="N165" i="9"/>
  <c r="N266" i="9" s="1"/>
  <c r="O165" i="9"/>
  <c r="O266" i="9" s="1"/>
  <c r="P165" i="9"/>
  <c r="P266" i="9" s="1"/>
  <c r="Q165" i="9"/>
  <c r="Q266" i="9" s="1"/>
  <c r="R165" i="9"/>
  <c r="R266" i="9" s="1"/>
  <c r="G168" i="9"/>
  <c r="H168" i="9"/>
  <c r="H267" i="9" s="1"/>
  <c r="I168" i="9"/>
  <c r="I267" i="9" s="1"/>
  <c r="J168" i="9"/>
  <c r="J267" i="9" s="1"/>
  <c r="K168" i="9"/>
  <c r="K267" i="9" s="1"/>
  <c r="L168" i="9"/>
  <c r="L267" i="9" s="1"/>
  <c r="M168" i="9"/>
  <c r="M267" i="9" s="1"/>
  <c r="N168" i="9"/>
  <c r="N267" i="9" s="1"/>
  <c r="O168" i="9"/>
  <c r="O267" i="9" s="1"/>
  <c r="P168" i="9"/>
  <c r="P267" i="9" s="1"/>
  <c r="Q168" i="9"/>
  <c r="Q267" i="9" s="1"/>
  <c r="R168" i="9"/>
  <c r="R267" i="9" s="1"/>
  <c r="H180" i="9"/>
  <c r="H269" i="9" s="1"/>
  <c r="I180" i="9"/>
  <c r="I269" i="9" s="1"/>
  <c r="J180" i="9"/>
  <c r="J269" i="9" s="1"/>
  <c r="K180" i="9"/>
  <c r="K269" i="9" s="1"/>
  <c r="L180" i="9"/>
  <c r="M180" i="9"/>
  <c r="M269" i="9" s="1"/>
  <c r="N180" i="9"/>
  <c r="O180" i="9"/>
  <c r="O269" i="9" s="1"/>
  <c r="P180" i="9"/>
  <c r="Q180" i="9"/>
  <c r="Q269" i="9" s="1"/>
  <c r="R180" i="9"/>
  <c r="G187" i="9"/>
  <c r="H187" i="9"/>
  <c r="H271" i="9" s="1"/>
  <c r="I187" i="9"/>
  <c r="I271" i="9" s="1"/>
  <c r="J187" i="9"/>
  <c r="J271" i="9" s="1"/>
  <c r="K187" i="9"/>
  <c r="K271" i="9" s="1"/>
  <c r="L187" i="9"/>
  <c r="L271" i="9" s="1"/>
  <c r="M187" i="9"/>
  <c r="M271" i="9" s="1"/>
  <c r="N187" i="9"/>
  <c r="N271" i="9" s="1"/>
  <c r="O187" i="9"/>
  <c r="O271" i="9" s="1"/>
  <c r="P187" i="9"/>
  <c r="P271" i="9" s="1"/>
  <c r="Q187" i="9"/>
  <c r="Q271" i="9" s="1"/>
  <c r="R187" i="9"/>
  <c r="R271" i="9" s="1"/>
  <c r="G206" i="9"/>
  <c r="H206" i="9"/>
  <c r="H272" i="9" s="1"/>
  <c r="I206" i="9"/>
  <c r="I272" i="9" s="1"/>
  <c r="J206" i="9"/>
  <c r="J272" i="9" s="1"/>
  <c r="K206" i="9"/>
  <c r="K272" i="9" s="1"/>
  <c r="L206" i="9"/>
  <c r="L272" i="9" s="1"/>
  <c r="M206" i="9"/>
  <c r="M272" i="9" s="1"/>
  <c r="N206" i="9"/>
  <c r="N272" i="9" s="1"/>
  <c r="O206" i="9"/>
  <c r="O272" i="9" s="1"/>
  <c r="P206" i="9"/>
  <c r="P272" i="9" s="1"/>
  <c r="Q206" i="9"/>
  <c r="Q272" i="9" s="1"/>
  <c r="R206" i="9"/>
  <c r="R272" i="9" s="1"/>
  <c r="G241" i="9"/>
  <c r="H241" i="9"/>
  <c r="H274" i="9" s="1"/>
  <c r="I241" i="9"/>
  <c r="I274" i="9" s="1"/>
  <c r="J241" i="9"/>
  <c r="J274" i="9" s="1"/>
  <c r="K241" i="9"/>
  <c r="K274" i="9" s="1"/>
  <c r="L241" i="9"/>
  <c r="L274" i="9" s="1"/>
  <c r="M241" i="9"/>
  <c r="M274" i="9" s="1"/>
  <c r="N241" i="9"/>
  <c r="N274" i="9" s="1"/>
  <c r="O241" i="9"/>
  <c r="O274" i="9" s="1"/>
  <c r="P241" i="9"/>
  <c r="P274" i="9" s="1"/>
  <c r="Q241" i="9"/>
  <c r="Q274" i="9" s="1"/>
  <c r="R241" i="9"/>
  <c r="R274" i="9" s="1"/>
  <c r="H223" i="9"/>
  <c r="H273" i="9" s="1"/>
  <c r="I223" i="9"/>
  <c r="I273" i="9" s="1"/>
  <c r="J223" i="9"/>
  <c r="J273" i="9" s="1"/>
  <c r="K223" i="9"/>
  <c r="K273" i="9" s="1"/>
  <c r="L223" i="9"/>
  <c r="L273" i="9" s="1"/>
  <c r="M223" i="9"/>
  <c r="M273" i="9" s="1"/>
  <c r="N223" i="9"/>
  <c r="N273" i="9" s="1"/>
  <c r="O223" i="9"/>
  <c r="O273" i="9" s="1"/>
  <c r="P223" i="9"/>
  <c r="P273" i="9" s="1"/>
  <c r="Q223" i="9"/>
  <c r="Q273" i="9" s="1"/>
  <c r="R223" i="9"/>
  <c r="R273" i="9" s="1"/>
  <c r="S223" i="9"/>
  <c r="S273" i="9" s="1"/>
  <c r="T223" i="9"/>
  <c r="T273" i="9" s="1"/>
  <c r="D19" i="9"/>
  <c r="E19" i="9"/>
  <c r="D21" i="9"/>
  <c r="D20" i="9" s="1"/>
  <c r="E21" i="9"/>
  <c r="E20" i="9" s="1"/>
  <c r="D22" i="9"/>
  <c r="E22" i="9"/>
  <c r="D23" i="9"/>
  <c r="E23" i="9"/>
  <c r="D24" i="9"/>
  <c r="E24" i="9"/>
  <c r="D25" i="9"/>
  <c r="E25" i="9"/>
  <c r="D26" i="9"/>
  <c r="E26" i="9"/>
  <c r="D27" i="9"/>
  <c r="E27" i="9"/>
  <c r="D28" i="9"/>
  <c r="E28" i="9"/>
  <c r="D29" i="9"/>
  <c r="E29" i="9"/>
  <c r="D30" i="9"/>
  <c r="E30" i="9"/>
  <c r="D33" i="9"/>
  <c r="E33" i="9"/>
  <c r="D34" i="9"/>
  <c r="E34" i="9"/>
  <c r="D35" i="9"/>
  <c r="E35" i="9"/>
  <c r="D37" i="9"/>
  <c r="D36" i="9" s="1"/>
  <c r="E37" i="9"/>
  <c r="E38" i="9"/>
  <c r="F38" i="9" s="1"/>
  <c r="D60" i="9"/>
  <c r="E60" i="9"/>
  <c r="F60" i="9" s="1"/>
  <c r="D61" i="9"/>
  <c r="E61" i="9"/>
  <c r="F61" i="9" s="1"/>
  <c r="D62" i="9"/>
  <c r="E62" i="9"/>
  <c r="D63" i="9"/>
  <c r="E63" i="9"/>
  <c r="D64" i="9"/>
  <c r="E64" i="9"/>
  <c r="D65" i="9"/>
  <c r="D66" i="9"/>
  <c r="E66" i="9"/>
  <c r="D67" i="9"/>
  <c r="E67" i="9"/>
  <c r="E68" i="9"/>
  <c r="D69" i="9"/>
  <c r="E69" i="9"/>
  <c r="D70" i="9"/>
  <c r="E70" i="9"/>
  <c r="F70" i="9" s="1"/>
  <c r="D71" i="9"/>
  <c r="E71" i="9"/>
  <c r="D72" i="9"/>
  <c r="E72" i="9"/>
  <c r="F72" i="9" s="1"/>
  <c r="D73" i="9"/>
  <c r="E73" i="9"/>
  <c r="D74" i="9"/>
  <c r="E74" i="9"/>
  <c r="D75" i="9"/>
  <c r="E75" i="9"/>
  <c r="D76" i="9"/>
  <c r="E76" i="9"/>
  <c r="F76" i="9" s="1"/>
  <c r="D77" i="9"/>
  <c r="E77" i="9"/>
  <c r="D79" i="9"/>
  <c r="E79" i="9"/>
  <c r="F79" i="9" s="1"/>
  <c r="D80" i="9"/>
  <c r="E80" i="9"/>
  <c r="D81" i="9"/>
  <c r="E81" i="9"/>
  <c r="F81" i="9" s="1"/>
  <c r="D83" i="9"/>
  <c r="D82" i="9" s="1"/>
  <c r="E83" i="9"/>
  <c r="E82" i="9" s="1"/>
  <c r="D87" i="9"/>
  <c r="E87" i="9"/>
  <c r="F87" i="9" s="1"/>
  <c r="D88" i="9"/>
  <c r="E88" i="9"/>
  <c r="E90" i="9"/>
  <c r="D91" i="9"/>
  <c r="E91" i="9"/>
  <c r="D92" i="9"/>
  <c r="E92" i="9"/>
  <c r="D93" i="9"/>
  <c r="E93" i="9"/>
  <c r="D94" i="9"/>
  <c r="E94" i="9"/>
  <c r="F94" i="9" s="1"/>
  <c r="D95" i="9"/>
  <c r="E95" i="9"/>
  <c r="D96" i="9"/>
  <c r="E96" i="9"/>
  <c r="F96" i="9" s="1"/>
  <c r="D97" i="9"/>
  <c r="E97" i="9"/>
  <c r="D98" i="9"/>
  <c r="E98" i="9"/>
  <c r="F98" i="9" s="1"/>
  <c r="D100" i="9"/>
  <c r="D99" i="9" s="1"/>
  <c r="E100" i="9"/>
  <c r="D101" i="9"/>
  <c r="E101" i="9"/>
  <c r="F101" i="9" s="1"/>
  <c r="D102" i="9"/>
  <c r="E102" i="9"/>
  <c r="D103" i="9"/>
  <c r="E103" i="9"/>
  <c r="F103" i="9" s="1"/>
  <c r="D104" i="9"/>
  <c r="E104" i="9"/>
  <c r="D105" i="9"/>
  <c r="E105" i="9"/>
  <c r="F105" i="9" s="1"/>
  <c r="D106" i="9"/>
  <c r="E106" i="9"/>
  <c r="D107" i="9"/>
  <c r="E107" i="9"/>
  <c r="F107" i="9" s="1"/>
  <c r="D108" i="9"/>
  <c r="E108" i="9"/>
  <c r="D109" i="9"/>
  <c r="E109" i="9"/>
  <c r="F109" i="9" s="1"/>
  <c r="D110" i="9"/>
  <c r="E110" i="9"/>
  <c r="D111" i="9"/>
  <c r="E111" i="9"/>
  <c r="F111" i="9" s="1"/>
  <c r="D112" i="9"/>
  <c r="E112" i="9"/>
  <c r="D113" i="9"/>
  <c r="E113" i="9"/>
  <c r="F113" i="9" s="1"/>
  <c r="D114" i="9"/>
  <c r="E114" i="9"/>
  <c r="D115" i="9"/>
  <c r="E115" i="9"/>
  <c r="F115" i="9" s="1"/>
  <c r="D116" i="9"/>
  <c r="E116" i="9"/>
  <c r="D117" i="9"/>
  <c r="E117" i="9"/>
  <c r="F117" i="9" s="1"/>
  <c r="D119" i="9"/>
  <c r="E119" i="9"/>
  <c r="F119" i="9" s="1"/>
  <c r="D120" i="9"/>
  <c r="E120" i="9"/>
  <c r="D121" i="9"/>
  <c r="E121" i="9"/>
  <c r="F121" i="9" s="1"/>
  <c r="D122" i="9"/>
  <c r="E122" i="9"/>
  <c r="D124" i="9"/>
  <c r="D126" i="9"/>
  <c r="D128" i="9"/>
  <c r="D130" i="9"/>
  <c r="D129" i="9" s="1"/>
  <c r="D136" i="9"/>
  <c r="E136" i="9"/>
  <c r="F136" i="9" s="1"/>
  <c r="D137" i="9"/>
  <c r="E137" i="9"/>
  <c r="D138" i="9"/>
  <c r="E138" i="9"/>
  <c r="F138" i="9" s="1"/>
  <c r="D139" i="9"/>
  <c r="E139" i="9"/>
  <c r="D140" i="9"/>
  <c r="E140" i="9"/>
  <c r="F140" i="9" s="1"/>
  <c r="D141" i="9"/>
  <c r="E141" i="9"/>
  <c r="D142" i="9"/>
  <c r="E142" i="9"/>
  <c r="F142" i="9" s="1"/>
  <c r="D143" i="9"/>
  <c r="E143" i="9"/>
  <c r="D144" i="9"/>
  <c r="E144" i="9"/>
  <c r="F144" i="9" s="1"/>
  <c r="D145" i="9"/>
  <c r="E145" i="9"/>
  <c r="D146" i="9"/>
  <c r="E146" i="9"/>
  <c r="F146" i="9" s="1"/>
  <c r="D147" i="9"/>
  <c r="E147" i="9"/>
  <c r="D148" i="9"/>
  <c r="E148" i="9"/>
  <c r="F148" i="9" s="1"/>
  <c r="D149" i="9"/>
  <c r="E149" i="9"/>
  <c r="D150" i="9"/>
  <c r="E150" i="9"/>
  <c r="F150" i="9" s="1"/>
  <c r="D151" i="9"/>
  <c r="E151" i="9"/>
  <c r="D152" i="9"/>
  <c r="E152" i="9"/>
  <c r="F152" i="9" s="1"/>
  <c r="D153" i="9"/>
  <c r="E153" i="9"/>
  <c r="D154" i="9"/>
  <c r="E154" i="9"/>
  <c r="F154" i="9" s="1"/>
  <c r="D155" i="9"/>
  <c r="E155" i="9"/>
  <c r="D156" i="9"/>
  <c r="E156" i="9"/>
  <c r="F156" i="9" s="1"/>
  <c r="D157" i="9"/>
  <c r="E157" i="9"/>
  <c r="D158" i="9"/>
  <c r="E158" i="9"/>
  <c r="F158" i="9" s="1"/>
  <c r="D159" i="9"/>
  <c r="E159" i="9"/>
  <c r="D160" i="9"/>
  <c r="E160" i="9"/>
  <c r="F160" i="9" s="1"/>
  <c r="D161" i="9"/>
  <c r="E161" i="9"/>
  <c r="D162" i="9"/>
  <c r="E162" i="9"/>
  <c r="F162" i="9" s="1"/>
  <c r="D163" i="9"/>
  <c r="E163" i="9"/>
  <c r="D164" i="9"/>
  <c r="E164" i="9"/>
  <c r="F164" i="9" s="1"/>
  <c r="D166" i="9"/>
  <c r="E166" i="9"/>
  <c r="F166" i="9" s="1"/>
  <c r="D167" i="9"/>
  <c r="E167" i="9"/>
  <c r="D169" i="9"/>
  <c r="E169" i="9"/>
  <c r="D170" i="9"/>
  <c r="E170" i="9"/>
  <c r="F170" i="9" s="1"/>
  <c r="D171" i="9"/>
  <c r="E171" i="9"/>
  <c r="D172" i="9"/>
  <c r="E172" i="9"/>
  <c r="F172" i="9" s="1"/>
  <c r="D173" i="9"/>
  <c r="E173" i="9"/>
  <c r="D175" i="9"/>
  <c r="E175" i="9"/>
  <c r="D176" i="9"/>
  <c r="E176" i="9"/>
  <c r="F176" i="9" s="1"/>
  <c r="D177" i="9"/>
  <c r="E177" i="9"/>
  <c r="D178" i="9"/>
  <c r="E178" i="9"/>
  <c r="F178" i="9" s="1"/>
  <c r="D179" i="9"/>
  <c r="E179" i="9"/>
  <c r="D181" i="9"/>
  <c r="E181" i="9"/>
  <c r="F181" i="9" s="1"/>
  <c r="D182" i="9"/>
  <c r="E182" i="9"/>
  <c r="D183" i="9"/>
  <c r="E183" i="9"/>
  <c r="F183" i="9" s="1"/>
  <c r="D184" i="9"/>
  <c r="E184" i="9"/>
  <c r="D185" i="9"/>
  <c r="E185" i="9"/>
  <c r="F185" i="9" s="1"/>
  <c r="D186" i="9"/>
  <c r="E186" i="9"/>
  <c r="D188" i="9"/>
  <c r="E188" i="9"/>
  <c r="F188" i="9" s="1"/>
  <c r="D189" i="9"/>
  <c r="E189" i="9"/>
  <c r="D190" i="9"/>
  <c r="E190" i="9"/>
  <c r="F190" i="9" s="1"/>
  <c r="D191" i="9"/>
  <c r="E191" i="9"/>
  <c r="D192" i="9"/>
  <c r="E192" i="9"/>
  <c r="F192" i="9" s="1"/>
  <c r="D194" i="9"/>
  <c r="E194" i="9"/>
  <c r="D195" i="9"/>
  <c r="E195" i="9"/>
  <c r="F195" i="9" s="1"/>
  <c r="D196" i="9"/>
  <c r="E196" i="9"/>
  <c r="D197" i="9"/>
  <c r="E197" i="9"/>
  <c r="F197" i="9" s="1"/>
  <c r="D198" i="9"/>
  <c r="E198" i="9"/>
  <c r="D199" i="9"/>
  <c r="E199" i="9"/>
  <c r="F199" i="9" s="1"/>
  <c r="D200" i="9"/>
  <c r="E200" i="9"/>
  <c r="D201" i="9"/>
  <c r="E201" i="9"/>
  <c r="F201" i="9" s="1"/>
  <c r="D202" i="9"/>
  <c r="E202" i="9"/>
  <c r="D203" i="9"/>
  <c r="E203" i="9"/>
  <c r="F203" i="9" s="1"/>
  <c r="D204" i="9"/>
  <c r="E204" i="9"/>
  <c r="D205" i="9"/>
  <c r="E205" i="9"/>
  <c r="D207" i="9"/>
  <c r="E207" i="9"/>
  <c r="D208" i="9"/>
  <c r="E208" i="9"/>
  <c r="D209" i="9"/>
  <c r="E209" i="9"/>
  <c r="D210" i="9"/>
  <c r="E210" i="9"/>
  <c r="F210" i="9" s="1"/>
  <c r="D211" i="9"/>
  <c r="E211" i="9"/>
  <c r="E212" i="9"/>
  <c r="D213" i="9"/>
  <c r="E213" i="9"/>
  <c r="D214" i="9"/>
  <c r="E214" i="9"/>
  <c r="F214" i="9" s="1"/>
  <c r="D215" i="9"/>
  <c r="E215" i="9"/>
  <c r="D216" i="9"/>
  <c r="E216" i="9"/>
  <c r="F216" i="9" s="1"/>
  <c r="D217" i="9"/>
  <c r="E217" i="9"/>
  <c r="D218" i="9"/>
  <c r="E218" i="9"/>
  <c r="F218" i="9" s="1"/>
  <c r="D219" i="9"/>
  <c r="E219" i="9"/>
  <c r="D220" i="9"/>
  <c r="E220" i="9"/>
  <c r="F220" i="9" s="1"/>
  <c r="D221" i="9"/>
  <c r="E221" i="9"/>
  <c r="D222" i="9"/>
  <c r="E222" i="9"/>
  <c r="F222" i="9" s="1"/>
  <c r="D224" i="9"/>
  <c r="D223" i="9" s="1"/>
  <c r="E224" i="9"/>
  <c r="D225" i="9"/>
  <c r="E225" i="9"/>
  <c r="F225" i="9" s="1"/>
  <c r="D226" i="9"/>
  <c r="E226" i="9"/>
  <c r="D227" i="9"/>
  <c r="E227" i="9"/>
  <c r="F227" i="9" s="1"/>
  <c r="D228" i="9"/>
  <c r="E228" i="9"/>
  <c r="D229" i="9"/>
  <c r="E229" i="9"/>
  <c r="F229" i="9" s="1"/>
  <c r="D230" i="9"/>
  <c r="E230" i="9"/>
  <c r="D231" i="9"/>
  <c r="E231" i="9"/>
  <c r="F231" i="9" s="1"/>
  <c r="D232" i="9"/>
  <c r="E232" i="9"/>
  <c r="D233" i="9"/>
  <c r="E233" i="9"/>
  <c r="F233" i="9" s="1"/>
  <c r="D234" i="9"/>
  <c r="E234" i="9"/>
  <c r="D235" i="9"/>
  <c r="E235" i="9"/>
  <c r="F235" i="9" s="1"/>
  <c r="D236" i="9"/>
  <c r="E236" i="9"/>
  <c r="D237" i="9"/>
  <c r="E237" i="9"/>
  <c r="F237" i="9" s="1"/>
  <c r="D238" i="9"/>
  <c r="E238" i="9"/>
  <c r="D239" i="9"/>
  <c r="E239" i="9"/>
  <c r="F239" i="9" s="1"/>
  <c r="D240" i="9"/>
  <c r="E240" i="9"/>
  <c r="F240" i="9" s="1"/>
  <c r="D242" i="9"/>
  <c r="D241" i="9" s="1"/>
  <c r="E242" i="9"/>
  <c r="D243" i="9"/>
  <c r="E243" i="9"/>
  <c r="D244" i="9"/>
  <c r="E244" i="9"/>
  <c r="F244" i="9" s="1"/>
  <c r="D245" i="9"/>
  <c r="E245" i="9"/>
  <c r="F245" i="9" s="1"/>
  <c r="D246" i="9"/>
  <c r="E246" i="9"/>
  <c r="F246" i="9" s="1"/>
  <c r="D247" i="9"/>
  <c r="E247" i="9"/>
  <c r="D248" i="9"/>
  <c r="E248" i="9"/>
  <c r="F248" i="9" s="1"/>
  <c r="D249" i="9"/>
  <c r="E249" i="9"/>
  <c r="F249" i="9" s="1"/>
  <c r="D250" i="9"/>
  <c r="E250" i="9"/>
  <c r="F250" i="9" s="1"/>
  <c r="D251" i="9"/>
  <c r="E251" i="9"/>
  <c r="F251" i="9" s="1"/>
  <c r="D252" i="9"/>
  <c r="E252" i="9"/>
  <c r="D253" i="9"/>
  <c r="E253" i="9"/>
  <c r="F253" i="9" s="1"/>
  <c r="D254" i="9"/>
  <c r="E254" i="9"/>
  <c r="F254" i="9" s="1"/>
  <c r="D255" i="9"/>
  <c r="E255" i="9"/>
  <c r="D256" i="9"/>
  <c r="E256" i="9"/>
  <c r="F256" i="9" s="1"/>
  <c r="D257" i="9"/>
  <c r="E257" i="9"/>
  <c r="F257" i="9" s="1"/>
  <c r="D258" i="9"/>
  <c r="E258" i="9"/>
  <c r="F258" i="9" s="1"/>
  <c r="G20" i="9"/>
  <c r="D18" i="9"/>
  <c r="E18" i="9"/>
  <c r="E17" i="9"/>
  <c r="D17" i="9"/>
  <c r="S16" i="9"/>
  <c r="T16" i="9"/>
  <c r="R16" i="9" s="1"/>
  <c r="R15" i="9" s="1"/>
  <c r="G241" i="10"/>
  <c r="H241" i="10"/>
  <c r="H274" i="10" s="1"/>
  <c r="I241" i="10"/>
  <c r="I274" i="10" s="1"/>
  <c r="J241" i="10"/>
  <c r="J274" i="10" s="1"/>
  <c r="K241" i="10"/>
  <c r="K274" i="10" s="1"/>
  <c r="L241" i="10"/>
  <c r="L274" i="10" s="1"/>
  <c r="M241" i="10"/>
  <c r="M274" i="10" s="1"/>
  <c r="N241" i="10"/>
  <c r="N274" i="10" s="1"/>
  <c r="O241" i="10"/>
  <c r="O274" i="10" s="1"/>
  <c r="P241" i="10"/>
  <c r="P274" i="10" s="1"/>
  <c r="Q241" i="10"/>
  <c r="Q274" i="10" s="1"/>
  <c r="R241" i="10"/>
  <c r="R274" i="10" s="1"/>
  <c r="G187" i="10"/>
  <c r="H187" i="10"/>
  <c r="H271" i="10" s="1"/>
  <c r="I187" i="10"/>
  <c r="I271" i="10" s="1"/>
  <c r="J187" i="10"/>
  <c r="J271" i="10" s="1"/>
  <c r="K187" i="10"/>
  <c r="K271" i="10" s="1"/>
  <c r="L187" i="10"/>
  <c r="L271" i="10" s="1"/>
  <c r="M187" i="10"/>
  <c r="M271" i="10" s="1"/>
  <c r="N187" i="10"/>
  <c r="N271" i="10" s="1"/>
  <c r="O187" i="10"/>
  <c r="O271" i="10" s="1"/>
  <c r="P187" i="10"/>
  <c r="P271" i="10" s="1"/>
  <c r="Q187" i="10"/>
  <c r="Q271" i="10" s="1"/>
  <c r="R187" i="10"/>
  <c r="R271" i="10" s="1"/>
  <c r="H180" i="10"/>
  <c r="I180" i="10"/>
  <c r="I269" i="10" s="1"/>
  <c r="J180" i="10"/>
  <c r="J269" i="10" s="1"/>
  <c r="K180" i="10"/>
  <c r="K269" i="10" s="1"/>
  <c r="L180" i="10"/>
  <c r="L269" i="10" s="1"/>
  <c r="M180" i="10"/>
  <c r="M269" i="10" s="1"/>
  <c r="N180" i="10"/>
  <c r="N269" i="10" s="1"/>
  <c r="O180" i="10"/>
  <c r="O269" i="10" s="1"/>
  <c r="P180" i="10"/>
  <c r="P269" i="10" s="1"/>
  <c r="Q180" i="10"/>
  <c r="Q269" i="10" s="1"/>
  <c r="R180" i="10"/>
  <c r="R269" i="10" s="1"/>
  <c r="S180" i="10"/>
  <c r="S269" i="10" s="1"/>
  <c r="T180" i="10"/>
  <c r="T269" i="10" s="1"/>
  <c r="H174" i="10"/>
  <c r="H268" i="10" s="1"/>
  <c r="I174" i="10"/>
  <c r="I268" i="10" s="1"/>
  <c r="J174" i="10"/>
  <c r="J268" i="10" s="1"/>
  <c r="K174" i="10"/>
  <c r="K268" i="10" s="1"/>
  <c r="L174" i="10"/>
  <c r="L268" i="10" s="1"/>
  <c r="M174" i="10"/>
  <c r="M268" i="10" s="1"/>
  <c r="N174" i="10"/>
  <c r="N268" i="10" s="1"/>
  <c r="O174" i="10"/>
  <c r="O268" i="10" s="1"/>
  <c r="P174" i="10"/>
  <c r="P268" i="10" s="1"/>
  <c r="Q174" i="10"/>
  <c r="Q268" i="10" s="1"/>
  <c r="R174" i="10"/>
  <c r="R268" i="10" s="1"/>
  <c r="S174" i="10"/>
  <c r="S268" i="10" s="1"/>
  <c r="T174" i="10"/>
  <c r="T268" i="10" s="1"/>
  <c r="H135" i="10"/>
  <c r="I135" i="10"/>
  <c r="J135" i="10"/>
  <c r="K135" i="10"/>
  <c r="L135" i="10"/>
  <c r="M135" i="10"/>
  <c r="N135" i="10"/>
  <c r="O135" i="10"/>
  <c r="P135" i="10"/>
  <c r="Q135" i="10"/>
  <c r="R135" i="10"/>
  <c r="S135" i="10"/>
  <c r="T135" i="10"/>
  <c r="I129" i="10"/>
  <c r="J129" i="10"/>
  <c r="K129" i="10"/>
  <c r="L129" i="10"/>
  <c r="M129" i="10"/>
  <c r="N129" i="10"/>
  <c r="O129" i="10"/>
  <c r="P129" i="10"/>
  <c r="Q129" i="10"/>
  <c r="R129" i="10"/>
  <c r="S129" i="10"/>
  <c r="T129" i="10"/>
  <c r="H123" i="10"/>
  <c r="H85" i="10" s="1"/>
  <c r="I123" i="10"/>
  <c r="J123" i="10"/>
  <c r="K123" i="10"/>
  <c r="L123" i="10"/>
  <c r="M123" i="10"/>
  <c r="N123" i="10"/>
  <c r="O123" i="10"/>
  <c r="P123" i="10"/>
  <c r="P85" i="10" s="1"/>
  <c r="Q123" i="10"/>
  <c r="R123" i="10"/>
  <c r="S123" i="10"/>
  <c r="T123" i="10"/>
  <c r="H99" i="10"/>
  <c r="I99" i="10"/>
  <c r="J99" i="10"/>
  <c r="K99" i="10"/>
  <c r="L99" i="10"/>
  <c r="M99" i="10"/>
  <c r="N99" i="10"/>
  <c r="O99" i="10"/>
  <c r="P99" i="10"/>
  <c r="Q99" i="10"/>
  <c r="R99" i="10"/>
  <c r="S99" i="10"/>
  <c r="T99" i="10"/>
  <c r="H86" i="10"/>
  <c r="I86" i="10"/>
  <c r="J86" i="10"/>
  <c r="K86" i="10"/>
  <c r="L86" i="10"/>
  <c r="L85" i="10" s="1"/>
  <c r="M86" i="10"/>
  <c r="N86" i="10"/>
  <c r="O86" i="10"/>
  <c r="P86" i="10"/>
  <c r="Q86" i="10"/>
  <c r="Q85" i="10" s="1"/>
  <c r="R86" i="10"/>
  <c r="S86" i="10"/>
  <c r="T86" i="10"/>
  <c r="H89" i="10"/>
  <c r="I89" i="10"/>
  <c r="J89" i="10"/>
  <c r="K89" i="10"/>
  <c r="L89" i="10"/>
  <c r="M89" i="10"/>
  <c r="N89" i="10"/>
  <c r="O89" i="10"/>
  <c r="P89" i="10"/>
  <c r="Q89" i="10"/>
  <c r="R89" i="10"/>
  <c r="S89" i="10"/>
  <c r="T89" i="10"/>
  <c r="F60" i="10"/>
  <c r="F58" i="10"/>
  <c r="F57" i="10"/>
  <c r="F56" i="10"/>
  <c r="F53" i="10"/>
  <c r="F52" i="10"/>
  <c r="E51" i="10"/>
  <c r="D51" i="10"/>
  <c r="E50" i="10"/>
  <c r="D50" i="10"/>
  <c r="I78" i="10"/>
  <c r="I262" i="10" s="1"/>
  <c r="J78" i="10"/>
  <c r="K78" i="10"/>
  <c r="K262" i="10" s="1"/>
  <c r="L78" i="10"/>
  <c r="L262" i="10" s="1"/>
  <c r="M78" i="10"/>
  <c r="M262" i="10" s="1"/>
  <c r="N78" i="10"/>
  <c r="N262" i="10" s="1"/>
  <c r="O78" i="10"/>
  <c r="P78" i="10"/>
  <c r="P262" i="10" s="1"/>
  <c r="Q78" i="10"/>
  <c r="Q262" i="10" s="1"/>
  <c r="R78" i="10"/>
  <c r="R262" i="10" s="1"/>
  <c r="S78" i="10"/>
  <c r="T78" i="10"/>
  <c r="T262" i="10" s="1"/>
  <c r="H49" i="10"/>
  <c r="I49" i="10"/>
  <c r="J49" i="10"/>
  <c r="J261" i="10" s="1"/>
  <c r="K49" i="10"/>
  <c r="K261" i="10" s="1"/>
  <c r="K260" i="10" s="1"/>
  <c r="L49" i="10"/>
  <c r="M49" i="10"/>
  <c r="N49" i="10"/>
  <c r="N261" i="10" s="1"/>
  <c r="O49" i="10"/>
  <c r="O261" i="10" s="1"/>
  <c r="P49" i="10"/>
  <c r="Q49" i="10"/>
  <c r="R49" i="10"/>
  <c r="R261" i="10" s="1"/>
  <c r="S49" i="10"/>
  <c r="S261" i="10" s="1"/>
  <c r="T49" i="10"/>
  <c r="U47" i="10"/>
  <c r="E46" i="10"/>
  <c r="D46" i="10"/>
  <c r="E45" i="10"/>
  <c r="D45" i="10"/>
  <c r="E44" i="10"/>
  <c r="D44" i="10"/>
  <c r="E43" i="10"/>
  <c r="D43" i="10"/>
  <c r="E42" i="10"/>
  <c r="D42" i="10"/>
  <c r="E41" i="10"/>
  <c r="D41" i="10"/>
  <c r="E40" i="10"/>
  <c r="D40" i="10"/>
  <c r="E39" i="10"/>
  <c r="D39" i="10"/>
  <c r="E38" i="10"/>
  <c r="D38" i="10"/>
  <c r="E37" i="10"/>
  <c r="F37" i="10" s="1"/>
  <c r="D37" i="10"/>
  <c r="E34" i="10"/>
  <c r="D34" i="10"/>
  <c r="E33" i="10"/>
  <c r="D33" i="10"/>
  <c r="H36" i="10"/>
  <c r="I36" i="10"/>
  <c r="I31" i="10" s="1"/>
  <c r="J36" i="10"/>
  <c r="J31" i="10" s="1"/>
  <c r="K36" i="10"/>
  <c r="L36" i="10"/>
  <c r="M36" i="10"/>
  <c r="N36" i="10"/>
  <c r="O36" i="10"/>
  <c r="P36" i="10"/>
  <c r="Q36" i="10"/>
  <c r="R36" i="10"/>
  <c r="S36" i="10"/>
  <c r="T36" i="10"/>
  <c r="D36" i="10"/>
  <c r="H32" i="10"/>
  <c r="I32" i="10"/>
  <c r="J32" i="10"/>
  <c r="K32" i="10"/>
  <c r="L32" i="10"/>
  <c r="L31" i="10" s="1"/>
  <c r="M32" i="10"/>
  <c r="N32" i="10"/>
  <c r="N31" i="10" s="1"/>
  <c r="O32" i="10"/>
  <c r="O31" i="10" s="1"/>
  <c r="P32" i="10"/>
  <c r="P31" i="10" s="1"/>
  <c r="Q32" i="10"/>
  <c r="R32" i="10"/>
  <c r="S32" i="10"/>
  <c r="S31" i="10" s="1"/>
  <c r="T32" i="10"/>
  <c r="T31" i="10" s="1"/>
  <c r="K31" i="10"/>
  <c r="M31" i="10"/>
  <c r="Q31" i="10"/>
  <c r="R31" i="10"/>
  <c r="E30" i="10"/>
  <c r="D30" i="10"/>
  <c r="E29" i="10"/>
  <c r="D29" i="10"/>
  <c r="E28" i="10"/>
  <c r="D28" i="10"/>
  <c r="E27" i="10"/>
  <c r="D27" i="10"/>
  <c r="E26" i="10"/>
  <c r="D26" i="10"/>
  <c r="H20" i="10"/>
  <c r="H15" i="10" s="1"/>
  <c r="I20" i="10"/>
  <c r="J20" i="10"/>
  <c r="K20" i="10"/>
  <c r="L20" i="10"/>
  <c r="M20" i="10"/>
  <c r="N20" i="10"/>
  <c r="O20" i="10"/>
  <c r="P20" i="10"/>
  <c r="Q20" i="10"/>
  <c r="R20" i="10"/>
  <c r="S20" i="10"/>
  <c r="T20" i="10"/>
  <c r="E20" i="10"/>
  <c r="E17" i="10"/>
  <c r="E18" i="10"/>
  <c r="D18" i="10"/>
  <c r="D17" i="10"/>
  <c r="H16" i="10"/>
  <c r="I16" i="10"/>
  <c r="J16" i="10"/>
  <c r="J15" i="10" s="1"/>
  <c r="K16" i="10"/>
  <c r="L16" i="10"/>
  <c r="M16" i="10"/>
  <c r="M15" i="10" s="1"/>
  <c r="N16" i="10"/>
  <c r="N15" i="10" s="1"/>
  <c r="O16" i="10"/>
  <c r="P16" i="10"/>
  <c r="Q16" i="10"/>
  <c r="Q15" i="10" s="1"/>
  <c r="R16" i="10"/>
  <c r="R15" i="10" s="1"/>
  <c r="S16" i="10"/>
  <c r="T16" i="10"/>
  <c r="E16" i="10"/>
  <c r="G16" i="10"/>
  <c r="K15" i="10"/>
  <c r="L15" i="10"/>
  <c r="O15" i="10"/>
  <c r="P15" i="10"/>
  <c r="S15" i="10"/>
  <c r="N261" i="6"/>
  <c r="J262" i="6"/>
  <c r="N262" i="6"/>
  <c r="R262" i="6"/>
  <c r="J266" i="6"/>
  <c r="L266" i="6"/>
  <c r="N266" i="6"/>
  <c r="P266" i="6"/>
  <c r="Q266" i="6"/>
  <c r="R266" i="6"/>
  <c r="L268" i="6"/>
  <c r="P268" i="6"/>
  <c r="T268" i="6"/>
  <c r="J269" i="6"/>
  <c r="L269" i="6"/>
  <c r="N269" i="6"/>
  <c r="P269" i="6"/>
  <c r="Q269" i="6"/>
  <c r="R269" i="6"/>
  <c r="K271" i="6"/>
  <c r="O271" i="6"/>
  <c r="L272" i="6"/>
  <c r="M272" i="6"/>
  <c r="P272" i="6"/>
  <c r="Q272" i="6"/>
  <c r="J273" i="6"/>
  <c r="K273" i="6"/>
  <c r="N273" i="6"/>
  <c r="O273" i="6"/>
  <c r="R273" i="6"/>
  <c r="K274" i="6"/>
  <c r="L274" i="6"/>
  <c r="M274" i="6"/>
  <c r="O274" i="6"/>
  <c r="P274" i="6"/>
  <c r="Q274" i="6"/>
  <c r="S274" i="6"/>
  <c r="G261" i="6"/>
  <c r="G262" i="6"/>
  <c r="H266" i="6"/>
  <c r="H269" i="6"/>
  <c r="G273" i="6"/>
  <c r="H273" i="6"/>
  <c r="G274" i="6"/>
  <c r="H274" i="6"/>
  <c r="I262" i="6"/>
  <c r="I271" i="6"/>
  <c r="G241" i="6"/>
  <c r="H241" i="6"/>
  <c r="I241" i="6"/>
  <c r="I274" i="6" s="1"/>
  <c r="J241" i="6"/>
  <c r="J274" i="6" s="1"/>
  <c r="K241" i="6"/>
  <c r="L241" i="6"/>
  <c r="M241" i="6"/>
  <c r="N241" i="6"/>
  <c r="N274" i="6" s="1"/>
  <c r="O241" i="6"/>
  <c r="P241" i="6"/>
  <c r="Q241" i="6"/>
  <c r="R241" i="6"/>
  <c r="R274" i="6" s="1"/>
  <c r="G223" i="6"/>
  <c r="H223" i="6"/>
  <c r="I223" i="6"/>
  <c r="I273" i="6" s="1"/>
  <c r="J223" i="6"/>
  <c r="K223" i="6"/>
  <c r="L223" i="6"/>
  <c r="L273" i="6" s="1"/>
  <c r="M223" i="6"/>
  <c r="M273" i="6" s="1"/>
  <c r="N223" i="6"/>
  <c r="O223" i="6"/>
  <c r="P223" i="6"/>
  <c r="P273" i="6" s="1"/>
  <c r="Q223" i="6"/>
  <c r="Q273" i="6" s="1"/>
  <c r="R223" i="6"/>
  <c r="G206" i="6"/>
  <c r="G272" i="6" s="1"/>
  <c r="H206" i="6"/>
  <c r="H272" i="6" s="1"/>
  <c r="I206" i="6"/>
  <c r="I272" i="6" s="1"/>
  <c r="J206" i="6"/>
  <c r="J272" i="6" s="1"/>
  <c r="K206" i="6"/>
  <c r="K272" i="6" s="1"/>
  <c r="L206" i="6"/>
  <c r="M206" i="6"/>
  <c r="N206" i="6"/>
  <c r="N272" i="6" s="1"/>
  <c r="O206" i="6"/>
  <c r="O272" i="6" s="1"/>
  <c r="P206" i="6"/>
  <c r="Q206" i="6"/>
  <c r="R206" i="6"/>
  <c r="R272" i="6" s="1"/>
  <c r="G187" i="6"/>
  <c r="G271" i="6" s="1"/>
  <c r="H187" i="6"/>
  <c r="H271" i="6" s="1"/>
  <c r="I187" i="6"/>
  <c r="J187" i="6"/>
  <c r="J271" i="6" s="1"/>
  <c r="K187" i="6"/>
  <c r="L187" i="6"/>
  <c r="L271" i="6" s="1"/>
  <c r="M187" i="6"/>
  <c r="M271" i="6" s="1"/>
  <c r="N187" i="6"/>
  <c r="N271" i="6" s="1"/>
  <c r="O187" i="6"/>
  <c r="P187" i="6"/>
  <c r="P271" i="6" s="1"/>
  <c r="Q187" i="6"/>
  <c r="Q271" i="6" s="1"/>
  <c r="R187" i="6"/>
  <c r="R271" i="6" s="1"/>
  <c r="H174" i="6"/>
  <c r="H268" i="6" s="1"/>
  <c r="I174" i="6"/>
  <c r="I268" i="6" s="1"/>
  <c r="J174" i="6"/>
  <c r="J268" i="6" s="1"/>
  <c r="K174" i="6"/>
  <c r="K268" i="6" s="1"/>
  <c r="L174" i="6"/>
  <c r="M174" i="6"/>
  <c r="M268" i="6" s="1"/>
  <c r="N174" i="6"/>
  <c r="N268" i="6" s="1"/>
  <c r="O174" i="6"/>
  <c r="O268" i="6" s="1"/>
  <c r="P174" i="6"/>
  <c r="Q174" i="6"/>
  <c r="Q268" i="6" s="1"/>
  <c r="R174" i="6"/>
  <c r="R268" i="6" s="1"/>
  <c r="S174" i="6"/>
  <c r="S268" i="6" s="1"/>
  <c r="T174" i="6"/>
  <c r="H168" i="6"/>
  <c r="H267" i="6" s="1"/>
  <c r="I168" i="6"/>
  <c r="I267" i="6" s="1"/>
  <c r="J168" i="6"/>
  <c r="J267" i="6" s="1"/>
  <c r="K168" i="6"/>
  <c r="K267" i="6" s="1"/>
  <c r="L168" i="6"/>
  <c r="L267" i="6" s="1"/>
  <c r="M168" i="6"/>
  <c r="M267" i="6" s="1"/>
  <c r="N168" i="6"/>
  <c r="N267" i="6" s="1"/>
  <c r="O168" i="6"/>
  <c r="O267" i="6" s="1"/>
  <c r="P168" i="6"/>
  <c r="P267" i="6" s="1"/>
  <c r="Q168" i="6"/>
  <c r="Q267" i="6" s="1"/>
  <c r="R168" i="6"/>
  <c r="R267" i="6" s="1"/>
  <c r="S168" i="6"/>
  <c r="S267" i="6" s="1"/>
  <c r="T168" i="6"/>
  <c r="T267" i="6" s="1"/>
  <c r="H135" i="6"/>
  <c r="I135" i="6"/>
  <c r="J135" i="6"/>
  <c r="K135" i="6"/>
  <c r="L135" i="6"/>
  <c r="M135" i="6"/>
  <c r="N135" i="6"/>
  <c r="O135" i="6"/>
  <c r="P135" i="6"/>
  <c r="Q135" i="6"/>
  <c r="R135" i="6"/>
  <c r="S135" i="6"/>
  <c r="T135" i="6"/>
  <c r="R123" i="6"/>
  <c r="S123" i="6"/>
  <c r="T123" i="6"/>
  <c r="G123" i="6"/>
  <c r="G123" i="8" s="1"/>
  <c r="H123" i="6"/>
  <c r="I123" i="6"/>
  <c r="J123" i="6"/>
  <c r="K123" i="6"/>
  <c r="L123" i="6"/>
  <c r="M123" i="6"/>
  <c r="N123" i="6"/>
  <c r="O123" i="6"/>
  <c r="P123" i="6"/>
  <c r="H99" i="6"/>
  <c r="I99" i="6"/>
  <c r="J99" i="6"/>
  <c r="K99" i="6"/>
  <c r="L99" i="6"/>
  <c r="M99" i="6"/>
  <c r="N99" i="6"/>
  <c r="O99" i="6"/>
  <c r="P99" i="6"/>
  <c r="Q99" i="6"/>
  <c r="R99" i="6"/>
  <c r="S99" i="6"/>
  <c r="T99" i="6"/>
  <c r="H89" i="6"/>
  <c r="I89" i="6"/>
  <c r="J89" i="6"/>
  <c r="K89" i="6"/>
  <c r="L89" i="6"/>
  <c r="M89" i="6"/>
  <c r="N89" i="6"/>
  <c r="O89" i="6"/>
  <c r="P89" i="6"/>
  <c r="Q89" i="6"/>
  <c r="R89" i="6"/>
  <c r="S89" i="6"/>
  <c r="T89" i="6"/>
  <c r="H86" i="6"/>
  <c r="I86" i="6"/>
  <c r="J86" i="6"/>
  <c r="K86" i="6"/>
  <c r="L86" i="6"/>
  <c r="M86" i="6"/>
  <c r="N86" i="6"/>
  <c r="O86" i="6"/>
  <c r="P86" i="6"/>
  <c r="Q86" i="6"/>
  <c r="R86" i="6"/>
  <c r="S86" i="6"/>
  <c r="T86" i="6"/>
  <c r="I78" i="6"/>
  <c r="J78" i="6"/>
  <c r="J48" i="6" s="1"/>
  <c r="K78" i="6"/>
  <c r="K262" i="6" s="1"/>
  <c r="L78" i="6"/>
  <c r="L262" i="6" s="1"/>
  <c r="M78" i="6"/>
  <c r="M262" i="6" s="1"/>
  <c r="N78" i="6"/>
  <c r="O78" i="6"/>
  <c r="O262" i="6" s="1"/>
  <c r="P78" i="6"/>
  <c r="P262" i="6" s="1"/>
  <c r="Q78" i="6"/>
  <c r="Q262" i="6" s="1"/>
  <c r="R78" i="6"/>
  <c r="S78" i="6"/>
  <c r="S262" i="6" s="1"/>
  <c r="T78" i="6"/>
  <c r="T262" i="6" s="1"/>
  <c r="H48" i="6"/>
  <c r="J261" i="6"/>
  <c r="L48" i="6"/>
  <c r="P49" i="6"/>
  <c r="R49" i="6"/>
  <c r="R261" i="6" s="1"/>
  <c r="H32" i="6"/>
  <c r="H31" i="6" s="1"/>
  <c r="I32" i="6"/>
  <c r="I31" i="6" s="1"/>
  <c r="J32" i="6"/>
  <c r="J31" i="6" s="1"/>
  <c r="K32" i="6"/>
  <c r="K31" i="6" s="1"/>
  <c r="L32" i="6"/>
  <c r="L31" i="6" s="1"/>
  <c r="M32" i="6"/>
  <c r="M31" i="6" s="1"/>
  <c r="N32" i="6"/>
  <c r="N31" i="6" s="1"/>
  <c r="O32" i="6"/>
  <c r="P32" i="6"/>
  <c r="P31" i="6" s="1"/>
  <c r="Q32" i="6"/>
  <c r="R32" i="6"/>
  <c r="R31" i="6" s="1"/>
  <c r="S32" i="6"/>
  <c r="T32" i="6"/>
  <c r="D18" i="6"/>
  <c r="E18" i="6"/>
  <c r="D19" i="6"/>
  <c r="E19" i="6"/>
  <c r="D21" i="6"/>
  <c r="D20" i="6" s="1"/>
  <c r="E21" i="6"/>
  <c r="E20" i="6" s="1"/>
  <c r="D22" i="6"/>
  <c r="E22" i="6"/>
  <c r="D23" i="6"/>
  <c r="E23" i="6"/>
  <c r="D24" i="6"/>
  <c r="E24" i="6"/>
  <c r="D25" i="6"/>
  <c r="E25" i="6"/>
  <c r="D26" i="6"/>
  <c r="E26" i="6"/>
  <c r="D27" i="6"/>
  <c r="E27" i="6"/>
  <c r="D28" i="6"/>
  <c r="E28" i="6"/>
  <c r="D29" i="6"/>
  <c r="E29" i="6"/>
  <c r="D30" i="6"/>
  <c r="E30" i="6"/>
  <c r="D33" i="6"/>
  <c r="E33" i="6"/>
  <c r="D34" i="6"/>
  <c r="E34" i="6"/>
  <c r="D37" i="6"/>
  <c r="E37" i="6"/>
  <c r="D38" i="6"/>
  <c r="E38" i="6"/>
  <c r="D39" i="6"/>
  <c r="E39" i="6"/>
  <c r="D40" i="6"/>
  <c r="E40" i="6"/>
  <c r="D41" i="6"/>
  <c r="E41" i="6"/>
  <c r="D42" i="6"/>
  <c r="E42" i="6"/>
  <c r="D43" i="6"/>
  <c r="E43" i="6"/>
  <c r="D44" i="6"/>
  <c r="E44" i="6"/>
  <c r="D45" i="6"/>
  <c r="E45" i="6"/>
  <c r="D46" i="6"/>
  <c r="E46" i="6"/>
  <c r="D50" i="6"/>
  <c r="E50" i="6"/>
  <c r="D51" i="6"/>
  <c r="E51" i="6"/>
  <c r="D52" i="6"/>
  <c r="E52" i="6"/>
  <c r="D53" i="6"/>
  <c r="E53" i="6"/>
  <c r="D54" i="6"/>
  <c r="E54" i="6"/>
  <c r="D55" i="6"/>
  <c r="E55" i="6"/>
  <c r="D56" i="6"/>
  <c r="E56" i="6"/>
  <c r="D57" i="6"/>
  <c r="E57" i="6"/>
  <c r="D58" i="6"/>
  <c r="E58" i="6"/>
  <c r="D59" i="6"/>
  <c r="E59" i="6"/>
  <c r="D60" i="6"/>
  <c r="E60" i="6"/>
  <c r="D62" i="6"/>
  <c r="E62" i="6"/>
  <c r="D63" i="6"/>
  <c r="D64" i="6"/>
  <c r="E64" i="6"/>
  <c r="E65" i="6"/>
  <c r="D66" i="6"/>
  <c r="E66" i="6"/>
  <c r="D67" i="6"/>
  <c r="E67" i="6"/>
  <c r="E68" i="6"/>
  <c r="D69" i="6"/>
  <c r="E69" i="6"/>
  <c r="D70" i="6"/>
  <c r="E70" i="6"/>
  <c r="D71" i="6"/>
  <c r="E71" i="6"/>
  <c r="D72" i="6"/>
  <c r="E72" i="6"/>
  <c r="D73" i="6"/>
  <c r="E73" i="6"/>
  <c r="D74" i="6"/>
  <c r="E74" i="6"/>
  <c r="D75" i="6"/>
  <c r="E75" i="6"/>
  <c r="D76" i="6"/>
  <c r="E76" i="6"/>
  <c r="D77" i="6"/>
  <c r="E77" i="6"/>
  <c r="D79" i="6"/>
  <c r="E79" i="6"/>
  <c r="D80" i="6"/>
  <c r="E80" i="6"/>
  <c r="D81" i="6"/>
  <c r="E81" i="6"/>
  <c r="D83" i="6"/>
  <c r="E83" i="6"/>
  <c r="D87" i="6"/>
  <c r="E87" i="6"/>
  <c r="D88" i="6"/>
  <c r="E88" i="6"/>
  <c r="E86" i="6" s="1"/>
  <c r="D90" i="6"/>
  <c r="E90" i="6"/>
  <c r="D91" i="6"/>
  <c r="E91" i="6"/>
  <c r="D92" i="6"/>
  <c r="E92" i="6"/>
  <c r="D93" i="6"/>
  <c r="E93" i="6"/>
  <c r="D94" i="6"/>
  <c r="E94" i="6"/>
  <c r="D95" i="6"/>
  <c r="E95" i="6"/>
  <c r="D96" i="6"/>
  <c r="E96" i="6"/>
  <c r="D97" i="6"/>
  <c r="E97" i="6"/>
  <c r="D98" i="6"/>
  <c r="E98" i="6"/>
  <c r="D100" i="6"/>
  <c r="E100" i="6"/>
  <c r="D101" i="6"/>
  <c r="E101" i="6"/>
  <c r="D102" i="6"/>
  <c r="E102" i="6"/>
  <c r="D103" i="6"/>
  <c r="E103" i="6"/>
  <c r="D104" i="6"/>
  <c r="E104" i="6"/>
  <c r="D105" i="6"/>
  <c r="E105" i="6"/>
  <c r="D106" i="6"/>
  <c r="E106" i="6"/>
  <c r="D107" i="6"/>
  <c r="E107" i="6"/>
  <c r="D108" i="6"/>
  <c r="E108" i="6"/>
  <c r="D109" i="6"/>
  <c r="E109" i="6"/>
  <c r="D110" i="6"/>
  <c r="E110" i="6"/>
  <c r="D111" i="6"/>
  <c r="E111" i="6"/>
  <c r="D112" i="6"/>
  <c r="E112" i="6"/>
  <c r="D113" i="6"/>
  <c r="E113" i="6"/>
  <c r="D114" i="6"/>
  <c r="E114" i="6"/>
  <c r="D115" i="6"/>
  <c r="E115" i="6"/>
  <c r="D116" i="6"/>
  <c r="E116" i="6"/>
  <c r="D117" i="6"/>
  <c r="E117" i="6"/>
  <c r="D119" i="6"/>
  <c r="E119" i="6"/>
  <c r="D120" i="6"/>
  <c r="E120" i="6"/>
  <c r="D121" i="6"/>
  <c r="E121" i="6"/>
  <c r="D122" i="6"/>
  <c r="E122" i="6"/>
  <c r="D124" i="6"/>
  <c r="D124" i="8" s="1"/>
  <c r="E124" i="6"/>
  <c r="E124" i="8" s="1"/>
  <c r="D126" i="6"/>
  <c r="E126" i="6"/>
  <c r="D128" i="6"/>
  <c r="D128" i="8" s="1"/>
  <c r="E128" i="6"/>
  <c r="E128" i="8" s="1"/>
  <c r="D130" i="6"/>
  <c r="D130" i="8" s="1"/>
  <c r="E130" i="6"/>
  <c r="E130" i="8" s="1"/>
  <c r="D136" i="6"/>
  <c r="E136" i="6"/>
  <c r="D137" i="6"/>
  <c r="E137" i="6"/>
  <c r="D138" i="6"/>
  <c r="E138" i="6"/>
  <c r="D139" i="6"/>
  <c r="E139" i="6"/>
  <c r="D140" i="6"/>
  <c r="E140" i="6"/>
  <c r="D141" i="6"/>
  <c r="E141" i="6"/>
  <c r="D142" i="6"/>
  <c r="E142" i="6"/>
  <c r="D143" i="6"/>
  <c r="E143" i="6"/>
  <c r="D144" i="6"/>
  <c r="E144" i="6"/>
  <c r="D145" i="6"/>
  <c r="E145" i="6"/>
  <c r="D146" i="6"/>
  <c r="E146" i="6"/>
  <c r="D147" i="6"/>
  <c r="E147" i="6"/>
  <c r="D148" i="6"/>
  <c r="E148" i="6"/>
  <c r="D149" i="6"/>
  <c r="E149" i="6"/>
  <c r="D150" i="6"/>
  <c r="E150" i="6"/>
  <c r="D151" i="6"/>
  <c r="E151" i="6"/>
  <c r="D152" i="6"/>
  <c r="E152" i="6"/>
  <c r="D153" i="6"/>
  <c r="E153" i="6"/>
  <c r="D154" i="6"/>
  <c r="E154" i="6"/>
  <c r="D155" i="6"/>
  <c r="E155" i="6"/>
  <c r="D156" i="6"/>
  <c r="E156" i="6"/>
  <c r="D157" i="6"/>
  <c r="E157" i="6"/>
  <c r="D158" i="6"/>
  <c r="E158" i="6"/>
  <c r="D159" i="6"/>
  <c r="E159" i="6"/>
  <c r="D160" i="6"/>
  <c r="E160" i="6"/>
  <c r="D161" i="6"/>
  <c r="E161" i="6"/>
  <c r="D162" i="6"/>
  <c r="E162" i="6"/>
  <c r="D163" i="6"/>
  <c r="E163" i="6"/>
  <c r="D164" i="6"/>
  <c r="E164" i="6"/>
  <c r="D166" i="6"/>
  <c r="E166" i="6"/>
  <c r="D167" i="6"/>
  <c r="E167" i="6"/>
  <c r="D169" i="6"/>
  <c r="E169" i="6"/>
  <c r="D170" i="6"/>
  <c r="E170" i="6"/>
  <c r="D171" i="6"/>
  <c r="E171" i="6"/>
  <c r="D172" i="6"/>
  <c r="E172" i="6"/>
  <c r="D173" i="6"/>
  <c r="E173" i="6"/>
  <c r="D175" i="6"/>
  <c r="E175" i="6"/>
  <c r="D176" i="6"/>
  <c r="E176" i="6"/>
  <c r="D177" i="6"/>
  <c r="E177" i="6"/>
  <c r="D178" i="6"/>
  <c r="E178" i="6"/>
  <c r="D179" i="6"/>
  <c r="E179" i="6"/>
  <c r="D181" i="6"/>
  <c r="E181" i="6"/>
  <c r="D182" i="6"/>
  <c r="E182" i="6"/>
  <c r="D183" i="6"/>
  <c r="E183" i="6"/>
  <c r="D184" i="6"/>
  <c r="E184" i="6"/>
  <c r="D185" i="6"/>
  <c r="E185" i="6"/>
  <c r="D186" i="6"/>
  <c r="E186" i="6"/>
  <c r="D188" i="6"/>
  <c r="E188" i="6"/>
  <c r="D189" i="6"/>
  <c r="E189" i="6"/>
  <c r="D190" i="6"/>
  <c r="E190" i="6"/>
  <c r="D191" i="6"/>
  <c r="E191" i="6"/>
  <c r="D192" i="6"/>
  <c r="E192" i="6"/>
  <c r="D194" i="6"/>
  <c r="E194" i="6"/>
  <c r="D195" i="6"/>
  <c r="E195" i="6"/>
  <c r="D196" i="6"/>
  <c r="E196" i="6"/>
  <c r="D197" i="6"/>
  <c r="E197" i="6"/>
  <c r="D198" i="6"/>
  <c r="E198" i="6"/>
  <c r="D199" i="6"/>
  <c r="E199" i="6"/>
  <c r="D200" i="6"/>
  <c r="D201" i="6"/>
  <c r="E201" i="6"/>
  <c r="D202" i="6"/>
  <c r="E202" i="6"/>
  <c r="D203" i="6"/>
  <c r="E203" i="6"/>
  <c r="D204" i="6"/>
  <c r="E204" i="6"/>
  <c r="D205" i="6"/>
  <c r="E205" i="6"/>
  <c r="D207" i="6"/>
  <c r="E207" i="6"/>
  <c r="D208" i="6"/>
  <c r="E208" i="6"/>
  <c r="D209" i="6"/>
  <c r="E209" i="6"/>
  <c r="D210" i="6"/>
  <c r="E210" i="6"/>
  <c r="D211" i="6"/>
  <c r="E211" i="6"/>
  <c r="D212" i="6"/>
  <c r="E212" i="6"/>
  <c r="D213" i="6"/>
  <c r="E213" i="6"/>
  <c r="D214" i="6"/>
  <c r="E214" i="6"/>
  <c r="D215" i="6"/>
  <c r="E215" i="6"/>
  <c r="D216" i="6"/>
  <c r="E216" i="6"/>
  <c r="D217" i="6"/>
  <c r="E217" i="6"/>
  <c r="E218" i="6"/>
  <c r="D219" i="6"/>
  <c r="E219" i="6"/>
  <c r="D220" i="6"/>
  <c r="E220" i="6"/>
  <c r="D221" i="6"/>
  <c r="E221" i="6"/>
  <c r="D222" i="6"/>
  <c r="E222" i="6"/>
  <c r="D224" i="6"/>
  <c r="E224" i="6"/>
  <c r="D225" i="6"/>
  <c r="E225" i="6"/>
  <c r="D226" i="6"/>
  <c r="E226" i="6"/>
  <c r="D227" i="6"/>
  <c r="E227" i="6"/>
  <c r="D228" i="6"/>
  <c r="E228" i="6"/>
  <c r="D229" i="6"/>
  <c r="E229" i="6"/>
  <c r="D230" i="6"/>
  <c r="E230" i="6"/>
  <c r="D231" i="6"/>
  <c r="E231" i="6"/>
  <c r="D232" i="6"/>
  <c r="E232" i="6"/>
  <c r="D233" i="6"/>
  <c r="E233" i="6"/>
  <c r="D234" i="6"/>
  <c r="E234" i="6"/>
  <c r="D235" i="6"/>
  <c r="E235" i="6"/>
  <c r="D236" i="6"/>
  <c r="E236" i="6"/>
  <c r="D237" i="6"/>
  <c r="E237" i="6"/>
  <c r="D238" i="6"/>
  <c r="E238" i="6"/>
  <c r="D239" i="6"/>
  <c r="E239" i="6"/>
  <c r="D240" i="6"/>
  <c r="D242" i="6"/>
  <c r="E242" i="6"/>
  <c r="D243" i="6"/>
  <c r="E243" i="6"/>
  <c r="D244" i="6"/>
  <c r="E244" i="6"/>
  <c r="D245" i="6"/>
  <c r="E245" i="6"/>
  <c r="D246" i="6"/>
  <c r="E246" i="6"/>
  <c r="D247" i="6"/>
  <c r="E247" i="6"/>
  <c r="D248" i="6"/>
  <c r="E248" i="6"/>
  <c r="D249" i="6"/>
  <c r="E249" i="6"/>
  <c r="D250" i="6"/>
  <c r="E250" i="6"/>
  <c r="D251" i="6"/>
  <c r="E251" i="6"/>
  <c r="D252" i="6"/>
  <c r="E252" i="6"/>
  <c r="D253" i="6"/>
  <c r="E253" i="6"/>
  <c r="D254" i="6"/>
  <c r="E254" i="6"/>
  <c r="D255" i="6"/>
  <c r="E255" i="6"/>
  <c r="D256" i="6"/>
  <c r="E256" i="6"/>
  <c r="D257" i="6"/>
  <c r="E257" i="6"/>
  <c r="D258" i="6"/>
  <c r="E258" i="6"/>
  <c r="E17" i="6"/>
  <c r="S20" i="6"/>
  <c r="T20" i="6"/>
  <c r="T16" i="6"/>
  <c r="R16" i="6" s="1"/>
  <c r="P16" i="6" s="1"/>
  <c r="U16" i="6"/>
  <c r="S16" i="6" s="1"/>
  <c r="H242" i="8"/>
  <c r="I242" i="8"/>
  <c r="J242" i="8"/>
  <c r="K242" i="8"/>
  <c r="L242" i="8"/>
  <c r="M242" i="8"/>
  <c r="N242" i="8"/>
  <c r="O242" i="8"/>
  <c r="P242" i="8"/>
  <c r="Q242" i="8"/>
  <c r="R242" i="8"/>
  <c r="S242" i="8"/>
  <c r="T242" i="8"/>
  <c r="H243" i="8"/>
  <c r="I243" i="8"/>
  <c r="J243" i="8"/>
  <c r="K243" i="8"/>
  <c r="L243" i="8"/>
  <c r="M243" i="8"/>
  <c r="N243" i="8"/>
  <c r="O243" i="8"/>
  <c r="P243" i="8"/>
  <c r="Q243" i="8"/>
  <c r="R243" i="8"/>
  <c r="S243" i="8"/>
  <c r="T243" i="8"/>
  <c r="H244" i="8"/>
  <c r="I244" i="8"/>
  <c r="J244" i="8"/>
  <c r="K244" i="8"/>
  <c r="L244" i="8"/>
  <c r="M244" i="8"/>
  <c r="N244" i="8"/>
  <c r="O244" i="8"/>
  <c r="P244" i="8"/>
  <c r="Q244" i="8"/>
  <c r="R244" i="8"/>
  <c r="S244" i="8"/>
  <c r="T244" i="8"/>
  <c r="H245" i="8"/>
  <c r="I245" i="8"/>
  <c r="J245" i="8"/>
  <c r="K245" i="8"/>
  <c r="L245" i="8"/>
  <c r="M245" i="8"/>
  <c r="N245" i="8"/>
  <c r="O245" i="8"/>
  <c r="P245" i="8"/>
  <c r="Q245" i="8"/>
  <c r="R245" i="8"/>
  <c r="S245" i="8"/>
  <c r="T245" i="8"/>
  <c r="H246" i="8"/>
  <c r="I246" i="8"/>
  <c r="J246" i="8"/>
  <c r="K246" i="8"/>
  <c r="L246" i="8"/>
  <c r="M246" i="8"/>
  <c r="N246" i="8"/>
  <c r="O246" i="8"/>
  <c r="P246" i="8"/>
  <c r="Q246" i="8"/>
  <c r="R246" i="8"/>
  <c r="S246" i="8"/>
  <c r="T246" i="8"/>
  <c r="H247" i="8"/>
  <c r="I247" i="8"/>
  <c r="J247" i="8"/>
  <c r="K247" i="8"/>
  <c r="L247" i="8"/>
  <c r="M247" i="8"/>
  <c r="N247" i="8"/>
  <c r="O247" i="8"/>
  <c r="P247" i="8"/>
  <c r="Q247" i="8"/>
  <c r="R247" i="8"/>
  <c r="S247" i="8"/>
  <c r="T247" i="8"/>
  <c r="H248" i="8"/>
  <c r="I248" i="8"/>
  <c r="J248" i="8"/>
  <c r="K248" i="8"/>
  <c r="L248" i="8"/>
  <c r="M248" i="8"/>
  <c r="N248" i="8"/>
  <c r="O248" i="8"/>
  <c r="P248" i="8"/>
  <c r="Q248" i="8"/>
  <c r="R248" i="8"/>
  <c r="S248" i="8"/>
  <c r="T248" i="8"/>
  <c r="H249" i="8"/>
  <c r="I249" i="8"/>
  <c r="J249" i="8"/>
  <c r="K249" i="8"/>
  <c r="L249" i="8"/>
  <c r="M249" i="8"/>
  <c r="N249" i="8"/>
  <c r="O249" i="8"/>
  <c r="P249" i="8"/>
  <c r="Q249" i="8"/>
  <c r="R249" i="8"/>
  <c r="S249" i="8"/>
  <c r="T249" i="8"/>
  <c r="H250" i="8"/>
  <c r="I250" i="8"/>
  <c r="J250" i="8"/>
  <c r="K250" i="8"/>
  <c r="L250" i="8"/>
  <c r="M250" i="8"/>
  <c r="N250" i="8"/>
  <c r="O250" i="8"/>
  <c r="P250" i="8"/>
  <c r="Q250" i="8"/>
  <c r="R250" i="8"/>
  <c r="S250" i="8"/>
  <c r="T250" i="8"/>
  <c r="H251" i="8"/>
  <c r="I251" i="8"/>
  <c r="J251" i="8"/>
  <c r="K251" i="8"/>
  <c r="L251" i="8"/>
  <c r="M251" i="8"/>
  <c r="N251" i="8"/>
  <c r="O251" i="8"/>
  <c r="P251" i="8"/>
  <c r="Q251" i="8"/>
  <c r="R251" i="8"/>
  <c r="S251" i="8"/>
  <c r="T251" i="8"/>
  <c r="H252" i="8"/>
  <c r="I252" i="8"/>
  <c r="J252" i="8"/>
  <c r="K252" i="8"/>
  <c r="L252" i="8"/>
  <c r="M252" i="8"/>
  <c r="N252" i="8"/>
  <c r="O252" i="8"/>
  <c r="P252" i="8"/>
  <c r="Q252" i="8"/>
  <c r="R252" i="8"/>
  <c r="S252" i="8"/>
  <c r="T252" i="8"/>
  <c r="H253" i="8"/>
  <c r="I253" i="8"/>
  <c r="J253" i="8"/>
  <c r="K253" i="8"/>
  <c r="L253" i="8"/>
  <c r="M253" i="8"/>
  <c r="N253" i="8"/>
  <c r="O253" i="8"/>
  <c r="P253" i="8"/>
  <c r="Q253" i="8"/>
  <c r="R253" i="8"/>
  <c r="S253" i="8"/>
  <c r="T253" i="8"/>
  <c r="E253" i="8" s="1"/>
  <c r="H254" i="8"/>
  <c r="I254" i="8"/>
  <c r="J254" i="8"/>
  <c r="K254" i="8"/>
  <c r="L254" i="8"/>
  <c r="M254" i="8"/>
  <c r="N254" i="8"/>
  <c r="O254" i="8"/>
  <c r="P254" i="8"/>
  <c r="Q254" i="8"/>
  <c r="R254" i="8"/>
  <c r="S254" i="8"/>
  <c r="T254" i="8"/>
  <c r="H255" i="8"/>
  <c r="I255" i="8"/>
  <c r="J255" i="8"/>
  <c r="K255" i="8"/>
  <c r="L255" i="8"/>
  <c r="M255" i="8"/>
  <c r="N255" i="8"/>
  <c r="O255" i="8"/>
  <c r="P255" i="8"/>
  <c r="Q255" i="8"/>
  <c r="R255" i="8"/>
  <c r="S255" i="8"/>
  <c r="T255" i="8"/>
  <c r="H256" i="8"/>
  <c r="I256" i="8"/>
  <c r="J256" i="8"/>
  <c r="K256" i="8"/>
  <c r="L256" i="8"/>
  <c r="M256" i="8"/>
  <c r="N256" i="8"/>
  <c r="O256" i="8"/>
  <c r="P256" i="8"/>
  <c r="Q256" i="8"/>
  <c r="R256" i="8"/>
  <c r="S256" i="8"/>
  <c r="T256" i="8"/>
  <c r="H257" i="8"/>
  <c r="I257" i="8"/>
  <c r="J257" i="8"/>
  <c r="K257" i="8"/>
  <c r="L257" i="8"/>
  <c r="M257" i="8"/>
  <c r="N257" i="8"/>
  <c r="O257" i="8"/>
  <c r="P257" i="8"/>
  <c r="Q257" i="8"/>
  <c r="R257" i="8"/>
  <c r="S257" i="8"/>
  <c r="T257" i="8"/>
  <c r="E257" i="8" s="1"/>
  <c r="H258" i="8"/>
  <c r="I258" i="8"/>
  <c r="J258" i="8"/>
  <c r="K258" i="8"/>
  <c r="L258" i="8"/>
  <c r="M258" i="8"/>
  <c r="N258" i="8"/>
  <c r="O258" i="8"/>
  <c r="P258" i="8"/>
  <c r="Q258" i="8"/>
  <c r="R258" i="8"/>
  <c r="S258" i="8"/>
  <c r="T258" i="8"/>
  <c r="H224" i="8"/>
  <c r="I224" i="8"/>
  <c r="J224" i="8"/>
  <c r="K224" i="8"/>
  <c r="L224" i="8"/>
  <c r="M224" i="8"/>
  <c r="N224" i="8"/>
  <c r="O224" i="8"/>
  <c r="P224" i="8"/>
  <c r="Q224" i="8"/>
  <c r="R224" i="8"/>
  <c r="S224" i="8"/>
  <c r="T224" i="8"/>
  <c r="H225" i="8"/>
  <c r="I225" i="8"/>
  <c r="J225" i="8"/>
  <c r="K225" i="8"/>
  <c r="L225" i="8"/>
  <c r="M225" i="8"/>
  <c r="N225" i="8"/>
  <c r="O225" i="8"/>
  <c r="P225" i="8"/>
  <c r="Q225" i="8"/>
  <c r="R225" i="8"/>
  <c r="S225" i="8"/>
  <c r="T225" i="8"/>
  <c r="H226" i="8"/>
  <c r="I226" i="8"/>
  <c r="J226" i="8"/>
  <c r="K226" i="8"/>
  <c r="L226" i="8"/>
  <c r="M226" i="8"/>
  <c r="N226" i="8"/>
  <c r="O226" i="8"/>
  <c r="P226" i="8"/>
  <c r="Q226" i="8"/>
  <c r="R226" i="8"/>
  <c r="S226" i="8"/>
  <c r="T226" i="8"/>
  <c r="H227" i="8"/>
  <c r="I227" i="8"/>
  <c r="J227" i="8"/>
  <c r="K227" i="8"/>
  <c r="L227" i="8"/>
  <c r="M227" i="8"/>
  <c r="N227" i="8"/>
  <c r="O227" i="8"/>
  <c r="P227" i="8"/>
  <c r="Q227" i="8"/>
  <c r="R227" i="8"/>
  <c r="S227" i="8"/>
  <c r="T227" i="8"/>
  <c r="H228" i="8"/>
  <c r="I228" i="8"/>
  <c r="J228" i="8"/>
  <c r="K228" i="8"/>
  <c r="L228" i="8"/>
  <c r="M228" i="8"/>
  <c r="N228" i="8"/>
  <c r="O228" i="8"/>
  <c r="P228" i="8"/>
  <c r="Q228" i="8"/>
  <c r="R228" i="8"/>
  <c r="S228" i="8"/>
  <c r="T228" i="8"/>
  <c r="H229" i="8"/>
  <c r="I229" i="8"/>
  <c r="J229" i="8"/>
  <c r="K229" i="8"/>
  <c r="L229" i="8"/>
  <c r="M229" i="8"/>
  <c r="N229" i="8"/>
  <c r="O229" i="8"/>
  <c r="P229" i="8"/>
  <c r="Q229" i="8"/>
  <c r="R229" i="8"/>
  <c r="S229" i="8"/>
  <c r="T229" i="8"/>
  <c r="E229" i="8" s="1"/>
  <c r="H230" i="8"/>
  <c r="I230" i="8"/>
  <c r="J230" i="8"/>
  <c r="K230" i="8"/>
  <c r="L230" i="8"/>
  <c r="M230" i="8"/>
  <c r="N230" i="8"/>
  <c r="O230" i="8"/>
  <c r="P230" i="8"/>
  <c r="Q230" i="8"/>
  <c r="R230" i="8"/>
  <c r="S230" i="8"/>
  <c r="T230" i="8"/>
  <c r="H231" i="8"/>
  <c r="I231" i="8"/>
  <c r="J231" i="8"/>
  <c r="K231" i="8"/>
  <c r="L231" i="8"/>
  <c r="M231" i="8"/>
  <c r="N231" i="8"/>
  <c r="O231" i="8"/>
  <c r="P231" i="8"/>
  <c r="Q231" i="8"/>
  <c r="R231" i="8"/>
  <c r="S231" i="8"/>
  <c r="T231" i="8"/>
  <c r="H232" i="8"/>
  <c r="I232" i="8"/>
  <c r="J232" i="8"/>
  <c r="K232" i="8"/>
  <c r="L232" i="8"/>
  <c r="M232" i="8"/>
  <c r="N232" i="8"/>
  <c r="O232" i="8"/>
  <c r="P232" i="8"/>
  <c r="Q232" i="8"/>
  <c r="R232" i="8"/>
  <c r="S232" i="8"/>
  <c r="T232" i="8"/>
  <c r="H233" i="8"/>
  <c r="I233" i="8"/>
  <c r="J233" i="8"/>
  <c r="K233" i="8"/>
  <c r="L233" i="8"/>
  <c r="M233" i="8"/>
  <c r="N233" i="8"/>
  <c r="O233" i="8"/>
  <c r="P233" i="8"/>
  <c r="Q233" i="8"/>
  <c r="R233" i="8"/>
  <c r="S233" i="8"/>
  <c r="T233" i="8"/>
  <c r="E233" i="8" s="1"/>
  <c r="H234" i="8"/>
  <c r="I234" i="8"/>
  <c r="J234" i="8"/>
  <c r="K234" i="8"/>
  <c r="L234" i="8"/>
  <c r="M234" i="8"/>
  <c r="N234" i="8"/>
  <c r="O234" i="8"/>
  <c r="P234" i="8"/>
  <c r="Q234" i="8"/>
  <c r="R234" i="8"/>
  <c r="S234" i="8"/>
  <c r="T234" i="8"/>
  <c r="H235" i="8"/>
  <c r="I235" i="8"/>
  <c r="J235" i="8"/>
  <c r="K235" i="8"/>
  <c r="L235" i="8"/>
  <c r="M235" i="8"/>
  <c r="N235" i="8"/>
  <c r="O235" i="8"/>
  <c r="P235" i="8"/>
  <c r="Q235" i="8"/>
  <c r="R235" i="8"/>
  <c r="S235" i="8"/>
  <c r="T235" i="8"/>
  <c r="H236" i="8"/>
  <c r="I236" i="8"/>
  <c r="J236" i="8"/>
  <c r="K236" i="8"/>
  <c r="L236" i="8"/>
  <c r="M236" i="8"/>
  <c r="N236" i="8"/>
  <c r="O236" i="8"/>
  <c r="P236" i="8"/>
  <c r="Q236" i="8"/>
  <c r="R236" i="8"/>
  <c r="S236" i="8"/>
  <c r="T236" i="8"/>
  <c r="H237" i="8"/>
  <c r="I237" i="8"/>
  <c r="J237" i="8"/>
  <c r="K237" i="8"/>
  <c r="L237" i="8"/>
  <c r="M237" i="8"/>
  <c r="N237" i="8"/>
  <c r="O237" i="8"/>
  <c r="P237" i="8"/>
  <c r="Q237" i="8"/>
  <c r="R237" i="8"/>
  <c r="S237" i="8"/>
  <c r="T237" i="8"/>
  <c r="E237" i="8" s="1"/>
  <c r="H238" i="8"/>
  <c r="I238" i="8"/>
  <c r="J238" i="8"/>
  <c r="K238" i="8"/>
  <c r="L238" i="8"/>
  <c r="M238" i="8"/>
  <c r="N238" i="8"/>
  <c r="O238" i="8"/>
  <c r="P238" i="8"/>
  <c r="Q238" i="8"/>
  <c r="R238" i="8"/>
  <c r="S238" i="8"/>
  <c r="T238" i="8"/>
  <c r="H239" i="8"/>
  <c r="I239" i="8"/>
  <c r="J239" i="8"/>
  <c r="K239" i="8"/>
  <c r="L239" i="8"/>
  <c r="M239" i="8"/>
  <c r="N239" i="8"/>
  <c r="O239" i="8"/>
  <c r="P239" i="8"/>
  <c r="Q239" i="8"/>
  <c r="R239" i="8"/>
  <c r="S239" i="8"/>
  <c r="T239" i="8"/>
  <c r="H240" i="8"/>
  <c r="I240" i="8"/>
  <c r="J240" i="8"/>
  <c r="K240" i="8"/>
  <c r="L240" i="8"/>
  <c r="M240" i="8"/>
  <c r="N240" i="8"/>
  <c r="O240" i="8"/>
  <c r="P240" i="8"/>
  <c r="Q240" i="8"/>
  <c r="R240" i="8"/>
  <c r="S240" i="8"/>
  <c r="T240" i="8"/>
  <c r="H209" i="8"/>
  <c r="I209" i="8"/>
  <c r="J209" i="8"/>
  <c r="K209" i="8"/>
  <c r="L209" i="8"/>
  <c r="M209" i="8"/>
  <c r="N209" i="8"/>
  <c r="O209" i="8"/>
  <c r="P209" i="8"/>
  <c r="Q209" i="8"/>
  <c r="R209" i="8"/>
  <c r="S209" i="8"/>
  <c r="T209" i="8"/>
  <c r="H210" i="8"/>
  <c r="I210" i="8"/>
  <c r="J210" i="8"/>
  <c r="K210" i="8"/>
  <c r="L210" i="8"/>
  <c r="M210" i="8"/>
  <c r="N210" i="8"/>
  <c r="O210" i="8"/>
  <c r="P210" i="8"/>
  <c r="Q210" i="8"/>
  <c r="R210" i="8"/>
  <c r="S210" i="8"/>
  <c r="T210" i="8"/>
  <c r="H211" i="8"/>
  <c r="I211" i="8"/>
  <c r="J211" i="8"/>
  <c r="K211" i="8"/>
  <c r="L211" i="8"/>
  <c r="M211" i="8"/>
  <c r="N211" i="8"/>
  <c r="O211" i="8"/>
  <c r="P211" i="8"/>
  <c r="Q211" i="8"/>
  <c r="R211" i="8"/>
  <c r="S211" i="8"/>
  <c r="T211" i="8"/>
  <c r="H212" i="8"/>
  <c r="I212" i="8"/>
  <c r="J212" i="8"/>
  <c r="K212" i="8"/>
  <c r="L212" i="8"/>
  <c r="M212" i="8"/>
  <c r="N212" i="8"/>
  <c r="O212" i="8"/>
  <c r="P212" i="8"/>
  <c r="Q212" i="8"/>
  <c r="R212" i="8"/>
  <c r="S212" i="8"/>
  <c r="T212" i="8"/>
  <c r="H213" i="8"/>
  <c r="I213" i="8"/>
  <c r="J213" i="8"/>
  <c r="K213" i="8"/>
  <c r="L213" i="8"/>
  <c r="M213" i="8"/>
  <c r="N213" i="8"/>
  <c r="O213" i="8"/>
  <c r="P213" i="8"/>
  <c r="Q213" i="8"/>
  <c r="R213" i="8"/>
  <c r="S213" i="8"/>
  <c r="T213" i="8"/>
  <c r="H214" i="8"/>
  <c r="I214" i="8"/>
  <c r="J214" i="8"/>
  <c r="K214" i="8"/>
  <c r="L214" i="8"/>
  <c r="M214" i="8"/>
  <c r="N214" i="8"/>
  <c r="O214" i="8"/>
  <c r="P214" i="8"/>
  <c r="Q214" i="8"/>
  <c r="R214" i="8"/>
  <c r="S214" i="8"/>
  <c r="T214" i="8"/>
  <c r="H215" i="8"/>
  <c r="I215" i="8"/>
  <c r="J215" i="8"/>
  <c r="K215" i="8"/>
  <c r="L215" i="8"/>
  <c r="M215" i="8"/>
  <c r="N215" i="8"/>
  <c r="O215" i="8"/>
  <c r="P215" i="8"/>
  <c r="Q215" i="8"/>
  <c r="R215" i="8"/>
  <c r="S215" i="8"/>
  <c r="T215" i="8"/>
  <c r="H216" i="8"/>
  <c r="I216" i="8"/>
  <c r="J216" i="8"/>
  <c r="K216" i="8"/>
  <c r="L216" i="8"/>
  <c r="M216" i="8"/>
  <c r="N216" i="8"/>
  <c r="O216" i="8"/>
  <c r="P216" i="8"/>
  <c r="Q216" i="8"/>
  <c r="R216" i="8"/>
  <c r="S216" i="8"/>
  <c r="T216" i="8"/>
  <c r="H217" i="8"/>
  <c r="I217" i="8"/>
  <c r="J217" i="8"/>
  <c r="K217" i="8"/>
  <c r="L217" i="8"/>
  <c r="M217" i="8"/>
  <c r="N217" i="8"/>
  <c r="O217" i="8"/>
  <c r="P217" i="8"/>
  <c r="Q217" i="8"/>
  <c r="R217" i="8"/>
  <c r="S217" i="8"/>
  <c r="T217" i="8"/>
  <c r="H218" i="8"/>
  <c r="I218" i="8"/>
  <c r="J218" i="8"/>
  <c r="K218" i="8"/>
  <c r="L218" i="8"/>
  <c r="M218" i="8"/>
  <c r="N218" i="8"/>
  <c r="O218" i="8"/>
  <c r="P218" i="8"/>
  <c r="Q218" i="8"/>
  <c r="R218" i="8"/>
  <c r="T218" i="8"/>
  <c r="H219" i="8"/>
  <c r="I219" i="8"/>
  <c r="J219" i="8"/>
  <c r="K219" i="8"/>
  <c r="L219" i="8"/>
  <c r="M219" i="8"/>
  <c r="N219" i="8"/>
  <c r="O219" i="8"/>
  <c r="P219" i="8"/>
  <c r="Q219" i="8"/>
  <c r="R219" i="8"/>
  <c r="S219" i="8"/>
  <c r="T219" i="8"/>
  <c r="H220" i="8"/>
  <c r="I220" i="8"/>
  <c r="J220" i="8"/>
  <c r="K220" i="8"/>
  <c r="L220" i="8"/>
  <c r="M220" i="8"/>
  <c r="N220" i="8"/>
  <c r="O220" i="8"/>
  <c r="P220" i="8"/>
  <c r="Q220" i="8"/>
  <c r="R220" i="8"/>
  <c r="S220" i="8"/>
  <c r="T220" i="8"/>
  <c r="H221" i="8"/>
  <c r="I221" i="8"/>
  <c r="J221" i="8"/>
  <c r="K221" i="8"/>
  <c r="L221" i="8"/>
  <c r="M221" i="8"/>
  <c r="N221" i="8"/>
  <c r="O221" i="8"/>
  <c r="P221" i="8"/>
  <c r="Q221" i="8"/>
  <c r="R221" i="8"/>
  <c r="S221" i="8"/>
  <c r="T221" i="8"/>
  <c r="H222" i="8"/>
  <c r="I222" i="8"/>
  <c r="J222" i="8"/>
  <c r="K222" i="8"/>
  <c r="L222" i="8"/>
  <c r="M222" i="8"/>
  <c r="N222" i="8"/>
  <c r="O222" i="8"/>
  <c r="P222" i="8"/>
  <c r="Q222" i="8"/>
  <c r="R222" i="8"/>
  <c r="S222" i="8"/>
  <c r="T222" i="8"/>
  <c r="H188" i="8"/>
  <c r="I188" i="8"/>
  <c r="J188" i="8"/>
  <c r="K188" i="8"/>
  <c r="L188" i="8"/>
  <c r="M188" i="8"/>
  <c r="N188" i="8"/>
  <c r="O188" i="8"/>
  <c r="P188" i="8"/>
  <c r="Q188" i="8"/>
  <c r="R188" i="8"/>
  <c r="S188" i="8"/>
  <c r="T188" i="8"/>
  <c r="H189" i="8"/>
  <c r="I189" i="8"/>
  <c r="J189" i="8"/>
  <c r="K189" i="8"/>
  <c r="L189" i="8"/>
  <c r="M189" i="8"/>
  <c r="N189" i="8"/>
  <c r="O189" i="8"/>
  <c r="P189" i="8"/>
  <c r="Q189" i="8"/>
  <c r="R189" i="8"/>
  <c r="S189" i="8"/>
  <c r="T189" i="8"/>
  <c r="H190" i="8"/>
  <c r="I190" i="8"/>
  <c r="J190" i="8"/>
  <c r="K190" i="8"/>
  <c r="L190" i="8"/>
  <c r="M190" i="8"/>
  <c r="N190" i="8"/>
  <c r="O190" i="8"/>
  <c r="P190" i="8"/>
  <c r="Q190" i="8"/>
  <c r="R190" i="8"/>
  <c r="S190" i="8"/>
  <c r="T190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H193" i="8"/>
  <c r="I193" i="8"/>
  <c r="J193" i="8"/>
  <c r="K193" i="8"/>
  <c r="L193" i="8"/>
  <c r="M193" i="8"/>
  <c r="N193" i="8"/>
  <c r="O193" i="8"/>
  <c r="P193" i="8"/>
  <c r="Q193" i="8"/>
  <c r="R193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H197" i="8"/>
  <c r="I197" i="8"/>
  <c r="J197" i="8"/>
  <c r="K197" i="8"/>
  <c r="L197" i="8"/>
  <c r="M197" i="8"/>
  <c r="N197" i="8"/>
  <c r="O197" i="8"/>
  <c r="P197" i="8"/>
  <c r="Q197" i="8"/>
  <c r="R197" i="8"/>
  <c r="S197" i="8"/>
  <c r="T197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H200" i="8"/>
  <c r="I200" i="8"/>
  <c r="J200" i="8"/>
  <c r="K200" i="8"/>
  <c r="L200" i="8"/>
  <c r="M200" i="8"/>
  <c r="N200" i="8"/>
  <c r="O200" i="8"/>
  <c r="P200" i="8"/>
  <c r="Q200" i="8"/>
  <c r="R200" i="8"/>
  <c r="S200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H202" i="8"/>
  <c r="I202" i="8"/>
  <c r="J202" i="8"/>
  <c r="K202" i="8"/>
  <c r="L202" i="8"/>
  <c r="M202" i="8"/>
  <c r="N202" i="8"/>
  <c r="O202" i="8"/>
  <c r="P202" i="8"/>
  <c r="Q202" i="8"/>
  <c r="R202" i="8"/>
  <c r="S202" i="8"/>
  <c r="T202" i="8"/>
  <c r="H203" i="8"/>
  <c r="I203" i="8"/>
  <c r="J203" i="8"/>
  <c r="K203" i="8"/>
  <c r="L203" i="8"/>
  <c r="M203" i="8"/>
  <c r="N203" i="8"/>
  <c r="O203" i="8"/>
  <c r="P203" i="8"/>
  <c r="Q203" i="8"/>
  <c r="R203" i="8"/>
  <c r="S203" i="8"/>
  <c r="T203" i="8"/>
  <c r="H204" i="8"/>
  <c r="E204" i="8" s="1"/>
  <c r="I204" i="8"/>
  <c r="J204" i="8"/>
  <c r="K204" i="8"/>
  <c r="L204" i="8"/>
  <c r="M204" i="8"/>
  <c r="N204" i="8"/>
  <c r="O204" i="8"/>
  <c r="P204" i="8"/>
  <c r="Q204" i="8"/>
  <c r="R204" i="8"/>
  <c r="S204" i="8"/>
  <c r="T204" i="8"/>
  <c r="H205" i="8"/>
  <c r="I205" i="8"/>
  <c r="J205" i="8"/>
  <c r="K205" i="8"/>
  <c r="L205" i="8"/>
  <c r="M205" i="8"/>
  <c r="N205" i="8"/>
  <c r="O205" i="8"/>
  <c r="P205" i="8"/>
  <c r="Q205" i="8"/>
  <c r="R205" i="8"/>
  <c r="S205" i="8"/>
  <c r="T205" i="8"/>
  <c r="H175" i="8"/>
  <c r="I175" i="8"/>
  <c r="J175" i="8"/>
  <c r="E175" i="8" s="1"/>
  <c r="K175" i="8"/>
  <c r="L175" i="8"/>
  <c r="M175" i="8"/>
  <c r="N175" i="8"/>
  <c r="O175" i="8"/>
  <c r="P175" i="8"/>
  <c r="Q175" i="8"/>
  <c r="R175" i="8"/>
  <c r="S175" i="8"/>
  <c r="T175" i="8"/>
  <c r="H176" i="8"/>
  <c r="I176" i="8"/>
  <c r="J176" i="8"/>
  <c r="K176" i="8"/>
  <c r="L176" i="8"/>
  <c r="M176" i="8"/>
  <c r="N176" i="8"/>
  <c r="O176" i="8"/>
  <c r="P176" i="8"/>
  <c r="Q176" i="8"/>
  <c r="R176" i="8"/>
  <c r="S176" i="8"/>
  <c r="T176" i="8"/>
  <c r="H177" i="8"/>
  <c r="E177" i="8" s="1"/>
  <c r="I177" i="8"/>
  <c r="J177" i="8"/>
  <c r="K177" i="8"/>
  <c r="L177" i="8"/>
  <c r="M177" i="8"/>
  <c r="N177" i="8"/>
  <c r="O177" i="8"/>
  <c r="P177" i="8"/>
  <c r="Q177" i="8"/>
  <c r="R177" i="8"/>
  <c r="S177" i="8"/>
  <c r="T177" i="8"/>
  <c r="H178" i="8"/>
  <c r="I178" i="8"/>
  <c r="J178" i="8"/>
  <c r="K178" i="8"/>
  <c r="L178" i="8"/>
  <c r="M178" i="8"/>
  <c r="N178" i="8"/>
  <c r="O178" i="8"/>
  <c r="P178" i="8"/>
  <c r="Q178" i="8"/>
  <c r="R178" i="8"/>
  <c r="S178" i="8"/>
  <c r="T178" i="8"/>
  <c r="H170" i="8"/>
  <c r="I170" i="8"/>
  <c r="J170" i="8"/>
  <c r="E170" i="8" s="1"/>
  <c r="K170" i="8"/>
  <c r="L170" i="8"/>
  <c r="M170" i="8"/>
  <c r="N170" i="8"/>
  <c r="O170" i="8"/>
  <c r="P170" i="8"/>
  <c r="Q170" i="8"/>
  <c r="R170" i="8"/>
  <c r="S170" i="8"/>
  <c r="T170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T172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H142" i="8"/>
  <c r="I142" i="8"/>
  <c r="J142" i="8"/>
  <c r="K142" i="8"/>
  <c r="L142" i="8"/>
  <c r="M142" i="8"/>
  <c r="N142" i="8"/>
  <c r="O142" i="8"/>
  <c r="P142" i="8"/>
  <c r="Q142" i="8"/>
  <c r="R142" i="8"/>
  <c r="S142" i="8"/>
  <c r="T142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T143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T144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T145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H147" i="8"/>
  <c r="I147" i="8"/>
  <c r="J147" i="8"/>
  <c r="K147" i="8"/>
  <c r="L147" i="8"/>
  <c r="M147" i="8"/>
  <c r="N147" i="8"/>
  <c r="O147" i="8"/>
  <c r="P147" i="8"/>
  <c r="Q147" i="8"/>
  <c r="R147" i="8"/>
  <c r="S147" i="8"/>
  <c r="T147" i="8"/>
  <c r="H148" i="8"/>
  <c r="I148" i="8"/>
  <c r="J148" i="8"/>
  <c r="K148" i="8"/>
  <c r="L148" i="8"/>
  <c r="M148" i="8"/>
  <c r="N148" i="8"/>
  <c r="O148" i="8"/>
  <c r="P148" i="8"/>
  <c r="Q148" i="8"/>
  <c r="R148" i="8"/>
  <c r="S148" i="8"/>
  <c r="T148" i="8"/>
  <c r="H149" i="8"/>
  <c r="I149" i="8"/>
  <c r="J149" i="8"/>
  <c r="K149" i="8"/>
  <c r="L149" i="8"/>
  <c r="M149" i="8"/>
  <c r="N149" i="8"/>
  <c r="O149" i="8"/>
  <c r="P149" i="8"/>
  <c r="Q149" i="8"/>
  <c r="R149" i="8"/>
  <c r="S149" i="8"/>
  <c r="T149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H151" i="8"/>
  <c r="I151" i="8"/>
  <c r="J151" i="8"/>
  <c r="K151" i="8"/>
  <c r="L151" i="8"/>
  <c r="M151" i="8"/>
  <c r="N151" i="8"/>
  <c r="O151" i="8"/>
  <c r="P151" i="8"/>
  <c r="Q151" i="8"/>
  <c r="R151" i="8"/>
  <c r="S151" i="8"/>
  <c r="T151" i="8"/>
  <c r="H152" i="8"/>
  <c r="I152" i="8"/>
  <c r="J152" i="8"/>
  <c r="K152" i="8"/>
  <c r="L152" i="8"/>
  <c r="M152" i="8"/>
  <c r="N152" i="8"/>
  <c r="O152" i="8"/>
  <c r="P152" i="8"/>
  <c r="Q152" i="8"/>
  <c r="R152" i="8"/>
  <c r="S152" i="8"/>
  <c r="T152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H154" i="8"/>
  <c r="I154" i="8"/>
  <c r="J154" i="8"/>
  <c r="K154" i="8"/>
  <c r="L154" i="8"/>
  <c r="M154" i="8"/>
  <c r="N154" i="8"/>
  <c r="O154" i="8"/>
  <c r="P154" i="8"/>
  <c r="Q154" i="8"/>
  <c r="R154" i="8"/>
  <c r="S154" i="8"/>
  <c r="T154" i="8"/>
  <c r="H155" i="8"/>
  <c r="E155" i="8" s="1"/>
  <c r="I155" i="8"/>
  <c r="J155" i="8"/>
  <c r="K155" i="8"/>
  <c r="L155" i="8"/>
  <c r="M155" i="8"/>
  <c r="N155" i="8"/>
  <c r="O155" i="8"/>
  <c r="P155" i="8"/>
  <c r="Q155" i="8"/>
  <c r="R155" i="8"/>
  <c r="S155" i="8"/>
  <c r="T155" i="8"/>
  <c r="H156" i="8"/>
  <c r="I156" i="8"/>
  <c r="J156" i="8"/>
  <c r="K156" i="8"/>
  <c r="L156" i="8"/>
  <c r="M156" i="8"/>
  <c r="N156" i="8"/>
  <c r="O156" i="8"/>
  <c r="P156" i="8"/>
  <c r="Q156" i="8"/>
  <c r="R156" i="8"/>
  <c r="S156" i="8"/>
  <c r="T156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T157" i="8"/>
  <c r="J123" i="8"/>
  <c r="K123" i="8"/>
  <c r="L123" i="8"/>
  <c r="M123" i="8"/>
  <c r="N123" i="8"/>
  <c r="O123" i="8"/>
  <c r="P123" i="8"/>
  <c r="R123" i="8"/>
  <c r="S123" i="8"/>
  <c r="T123" i="8"/>
  <c r="H123" i="8"/>
  <c r="H108" i="8"/>
  <c r="I108" i="8"/>
  <c r="J108" i="8"/>
  <c r="K108" i="8"/>
  <c r="L108" i="8"/>
  <c r="M108" i="8"/>
  <c r="N108" i="8"/>
  <c r="O108" i="8"/>
  <c r="P108" i="8"/>
  <c r="Q108" i="8"/>
  <c r="R108" i="8"/>
  <c r="S108" i="8"/>
  <c r="T108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T109" i="8"/>
  <c r="H110" i="8"/>
  <c r="I110" i="8"/>
  <c r="J110" i="8"/>
  <c r="E110" i="8" s="1"/>
  <c r="K110" i="8"/>
  <c r="L110" i="8"/>
  <c r="M110" i="8"/>
  <c r="N110" i="8"/>
  <c r="O110" i="8"/>
  <c r="P110" i="8"/>
  <c r="Q110" i="8"/>
  <c r="R110" i="8"/>
  <c r="S110" i="8"/>
  <c r="T110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T111" i="8"/>
  <c r="H112" i="8"/>
  <c r="I112" i="8"/>
  <c r="J112" i="8"/>
  <c r="K112" i="8"/>
  <c r="L112" i="8"/>
  <c r="M112" i="8"/>
  <c r="N112" i="8"/>
  <c r="O112" i="8"/>
  <c r="P112" i="8"/>
  <c r="Q112" i="8"/>
  <c r="R112" i="8"/>
  <c r="S112" i="8"/>
  <c r="T112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T113" i="8"/>
  <c r="H114" i="8"/>
  <c r="I114" i="8"/>
  <c r="J114" i="8"/>
  <c r="E114" i="8" s="1"/>
  <c r="K114" i="8"/>
  <c r="L114" i="8"/>
  <c r="M114" i="8"/>
  <c r="N114" i="8"/>
  <c r="O114" i="8"/>
  <c r="P114" i="8"/>
  <c r="Q114" i="8"/>
  <c r="R114" i="8"/>
  <c r="S114" i="8"/>
  <c r="T114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H88" i="8"/>
  <c r="I88" i="8"/>
  <c r="J88" i="8"/>
  <c r="E88" i="8" s="1"/>
  <c r="K88" i="8"/>
  <c r="L88" i="8"/>
  <c r="M88" i="8"/>
  <c r="N88" i="8"/>
  <c r="O88" i="8"/>
  <c r="P88" i="8"/>
  <c r="Q88" i="8"/>
  <c r="R88" i="8"/>
  <c r="S88" i="8"/>
  <c r="T88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H59" i="8"/>
  <c r="E59" i="8" s="1"/>
  <c r="I59" i="8"/>
  <c r="J59" i="8"/>
  <c r="K59" i="8"/>
  <c r="L59" i="8"/>
  <c r="M59" i="8"/>
  <c r="N59" i="8"/>
  <c r="O59" i="8"/>
  <c r="P59" i="8"/>
  <c r="Q59" i="8"/>
  <c r="R59" i="8"/>
  <c r="S59" i="8"/>
  <c r="T59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H61" i="8"/>
  <c r="J61" i="8"/>
  <c r="L61" i="8"/>
  <c r="N61" i="8"/>
  <c r="P61" i="8"/>
  <c r="R61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H65" i="8"/>
  <c r="J65" i="8"/>
  <c r="L65" i="8"/>
  <c r="M65" i="8"/>
  <c r="N65" i="8"/>
  <c r="O65" i="8"/>
  <c r="P65" i="8"/>
  <c r="Q65" i="8"/>
  <c r="R65" i="8"/>
  <c r="S65" i="8"/>
  <c r="T65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H67" i="8"/>
  <c r="E67" i="8" s="1"/>
  <c r="I67" i="8"/>
  <c r="J67" i="8"/>
  <c r="K67" i="8"/>
  <c r="L67" i="8"/>
  <c r="M67" i="8"/>
  <c r="N67" i="8"/>
  <c r="O67" i="8"/>
  <c r="P67" i="8"/>
  <c r="Q67" i="8"/>
  <c r="R67" i="8"/>
  <c r="S67" i="8"/>
  <c r="T67" i="8"/>
  <c r="H68" i="8"/>
  <c r="J68" i="8"/>
  <c r="L68" i="8"/>
  <c r="N68" i="8"/>
  <c r="P68" i="8"/>
  <c r="Q68" i="8"/>
  <c r="R68" i="8"/>
  <c r="S68" i="8"/>
  <c r="T68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H37" i="8"/>
  <c r="I37" i="8"/>
  <c r="J37" i="8"/>
  <c r="K37" i="8"/>
  <c r="L37" i="8"/>
  <c r="M37" i="8"/>
  <c r="N37" i="8"/>
  <c r="O37" i="8"/>
  <c r="P37" i="8"/>
  <c r="Q37" i="8"/>
  <c r="S37" i="8"/>
  <c r="T37" i="8"/>
  <c r="H38" i="8"/>
  <c r="I38" i="8"/>
  <c r="J38" i="8"/>
  <c r="K38" i="8"/>
  <c r="L38" i="8"/>
  <c r="M38" i="8"/>
  <c r="N38" i="8"/>
  <c r="O38" i="8"/>
  <c r="P38" i="8"/>
  <c r="Q38" i="8"/>
  <c r="S38" i="8"/>
  <c r="T38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H41" i="8"/>
  <c r="H269" i="8" s="1"/>
  <c r="I41" i="8"/>
  <c r="J41" i="8"/>
  <c r="J269" i="8" s="1"/>
  <c r="K41" i="8"/>
  <c r="L41" i="8"/>
  <c r="L269" i="8" s="1"/>
  <c r="M41" i="8"/>
  <c r="N41" i="8"/>
  <c r="N269" i="8" s="1"/>
  <c r="O41" i="8"/>
  <c r="P41" i="8"/>
  <c r="P269" i="8" s="1"/>
  <c r="Q41" i="8"/>
  <c r="R41" i="8"/>
  <c r="R269" i="8" s="1"/>
  <c r="S41" i="8"/>
  <c r="T41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H34" i="8"/>
  <c r="I34" i="8"/>
  <c r="D34" i="8" s="1"/>
  <c r="J34" i="8"/>
  <c r="K34" i="8"/>
  <c r="L34" i="8"/>
  <c r="M34" i="8"/>
  <c r="N34" i="8"/>
  <c r="O34" i="8"/>
  <c r="P34" i="8"/>
  <c r="Q34" i="8"/>
  <c r="R34" i="8"/>
  <c r="S34" i="8"/>
  <c r="T34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H22" i="8"/>
  <c r="H266" i="8" s="1"/>
  <c r="I22" i="8"/>
  <c r="J22" i="8"/>
  <c r="K22" i="8"/>
  <c r="L22" i="8"/>
  <c r="L266" i="8" s="1"/>
  <c r="M22" i="8"/>
  <c r="N22" i="8"/>
  <c r="O22" i="8"/>
  <c r="P22" i="8"/>
  <c r="P266" i="8" s="1"/>
  <c r="Q22" i="8"/>
  <c r="R22" i="8"/>
  <c r="S22" i="8"/>
  <c r="T22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G18" i="8"/>
  <c r="G19" i="8"/>
  <c r="G21" i="8"/>
  <c r="G22" i="8"/>
  <c r="D22" i="8" s="1"/>
  <c r="G23" i="8"/>
  <c r="G24" i="8"/>
  <c r="G25" i="8"/>
  <c r="G26" i="8"/>
  <c r="G27" i="8"/>
  <c r="G28" i="8"/>
  <c r="G29" i="8"/>
  <c r="G30" i="8"/>
  <c r="G33" i="8"/>
  <c r="G34" i="8"/>
  <c r="G35" i="8"/>
  <c r="G37" i="8"/>
  <c r="G38" i="8"/>
  <c r="G39" i="8"/>
  <c r="G40" i="8"/>
  <c r="D40" i="8" s="1"/>
  <c r="G41" i="8"/>
  <c r="G42" i="8"/>
  <c r="G43" i="8"/>
  <c r="G44" i="8"/>
  <c r="G45" i="8"/>
  <c r="G46" i="8"/>
  <c r="G50" i="8"/>
  <c r="G51" i="8"/>
  <c r="D51" i="8" s="1"/>
  <c r="G52" i="8"/>
  <c r="G53" i="8"/>
  <c r="G54" i="8"/>
  <c r="G55" i="8"/>
  <c r="D55" i="8" s="1"/>
  <c r="G56" i="8"/>
  <c r="G57" i="8"/>
  <c r="G58" i="8"/>
  <c r="G59" i="8"/>
  <c r="D59" i="8" s="1"/>
  <c r="G60" i="8"/>
  <c r="G61" i="8"/>
  <c r="G62" i="8"/>
  <c r="G63" i="8"/>
  <c r="D63" i="8" s="1"/>
  <c r="G64" i="8"/>
  <c r="D64" i="8" s="1"/>
  <c r="G65" i="8"/>
  <c r="G66" i="8"/>
  <c r="G67" i="8"/>
  <c r="D67" i="8" s="1"/>
  <c r="G68" i="8"/>
  <c r="G69" i="8"/>
  <c r="G70" i="8"/>
  <c r="G71" i="8"/>
  <c r="D71" i="8" s="1"/>
  <c r="G72" i="8"/>
  <c r="G73" i="8"/>
  <c r="G74" i="8"/>
  <c r="G75" i="8"/>
  <c r="G76" i="8"/>
  <c r="G77" i="8"/>
  <c r="G79" i="8"/>
  <c r="G80" i="8"/>
  <c r="D80" i="8" s="1"/>
  <c r="G81" i="8"/>
  <c r="D81" i="8" s="1"/>
  <c r="G83" i="8"/>
  <c r="G87" i="8"/>
  <c r="D87" i="8" s="1"/>
  <c r="G88" i="8"/>
  <c r="G90" i="8"/>
  <c r="G92" i="8"/>
  <c r="D92" i="8" s="1"/>
  <c r="G93" i="8"/>
  <c r="G94" i="8"/>
  <c r="G95" i="8"/>
  <c r="G96" i="8"/>
  <c r="G97" i="8"/>
  <c r="G98" i="8"/>
  <c r="G100" i="8"/>
  <c r="G101" i="8"/>
  <c r="G102" i="8"/>
  <c r="G103" i="8"/>
  <c r="G104" i="8"/>
  <c r="G105" i="8"/>
  <c r="G106" i="8"/>
  <c r="G107" i="8"/>
  <c r="G108" i="8"/>
  <c r="G109" i="8"/>
  <c r="D109" i="8" s="1"/>
  <c r="G110" i="8"/>
  <c r="G111" i="8"/>
  <c r="G112" i="8"/>
  <c r="G113" i="8"/>
  <c r="D113" i="8" s="1"/>
  <c r="G114" i="8"/>
  <c r="D114" i="8" s="1"/>
  <c r="G136" i="8"/>
  <c r="G137" i="8"/>
  <c r="G138" i="8"/>
  <c r="G139" i="8"/>
  <c r="G140" i="8"/>
  <c r="G141" i="8"/>
  <c r="G142" i="8"/>
  <c r="D142" i="8" s="1"/>
  <c r="G143" i="8"/>
  <c r="G144" i="8"/>
  <c r="G145" i="8"/>
  <c r="G146" i="8"/>
  <c r="D146" i="8" s="1"/>
  <c r="G147" i="8"/>
  <c r="G148" i="8"/>
  <c r="D148" i="8" s="1"/>
  <c r="G149" i="8"/>
  <c r="G150" i="8"/>
  <c r="D150" i="8" s="1"/>
  <c r="G151" i="8"/>
  <c r="G152" i="8"/>
  <c r="G153" i="8"/>
  <c r="G154" i="8"/>
  <c r="D154" i="8" s="1"/>
  <c r="G155" i="8"/>
  <c r="G156" i="8"/>
  <c r="G157" i="8"/>
  <c r="G158" i="8"/>
  <c r="G159" i="8"/>
  <c r="G160" i="8"/>
  <c r="G161" i="8"/>
  <c r="G162" i="8"/>
  <c r="G163" i="8"/>
  <c r="G164" i="8"/>
  <c r="G166" i="8"/>
  <c r="G167" i="8"/>
  <c r="G169" i="8"/>
  <c r="G170" i="8"/>
  <c r="G171" i="8"/>
  <c r="G172" i="8"/>
  <c r="D172" i="8" s="1"/>
  <c r="G173" i="8"/>
  <c r="G175" i="8"/>
  <c r="G176" i="8"/>
  <c r="G177" i="8"/>
  <c r="D177" i="8" s="1"/>
  <c r="G178" i="8"/>
  <c r="G179" i="8"/>
  <c r="G181" i="8"/>
  <c r="G182" i="8"/>
  <c r="G183" i="8"/>
  <c r="G184" i="8"/>
  <c r="G185" i="8"/>
  <c r="G186" i="8"/>
  <c r="D186" i="8" s="1"/>
  <c r="G188" i="8"/>
  <c r="G189" i="8"/>
  <c r="G190" i="8"/>
  <c r="D190" i="8" s="1"/>
  <c r="G191" i="8"/>
  <c r="G192" i="8"/>
  <c r="D192" i="8" s="1"/>
  <c r="G193" i="8"/>
  <c r="G194" i="8"/>
  <c r="G195" i="8"/>
  <c r="G196" i="8"/>
  <c r="D196" i="8" s="1"/>
  <c r="G197" i="8"/>
  <c r="G198" i="8"/>
  <c r="G199" i="8"/>
  <c r="G200" i="8"/>
  <c r="G201" i="8"/>
  <c r="G202" i="8"/>
  <c r="D202" i="8" s="1"/>
  <c r="G203" i="8"/>
  <c r="G204" i="8"/>
  <c r="D204" i="8" s="1"/>
  <c r="G205" i="8"/>
  <c r="G207" i="8"/>
  <c r="G208" i="8"/>
  <c r="G209" i="8"/>
  <c r="D209" i="8" s="1"/>
  <c r="G210" i="8"/>
  <c r="G211" i="8"/>
  <c r="D211" i="8" s="1"/>
  <c r="G212" i="8"/>
  <c r="D212" i="8" s="1"/>
  <c r="G213" i="8"/>
  <c r="D213" i="8" s="1"/>
  <c r="G214" i="8"/>
  <c r="G215" i="8"/>
  <c r="D215" i="8" s="1"/>
  <c r="G216" i="8"/>
  <c r="D216" i="8" s="1"/>
  <c r="G217" i="8"/>
  <c r="G218" i="8"/>
  <c r="G219" i="8"/>
  <c r="D219" i="8" s="1"/>
  <c r="G220" i="8"/>
  <c r="D220" i="8" s="1"/>
  <c r="G221" i="8"/>
  <c r="G222" i="8"/>
  <c r="G224" i="8"/>
  <c r="D224" i="8" s="1"/>
  <c r="G225" i="8"/>
  <c r="D225" i="8" s="1"/>
  <c r="G226" i="8"/>
  <c r="D226" i="8" s="1"/>
  <c r="G227" i="8"/>
  <c r="G228" i="8"/>
  <c r="D228" i="8" s="1"/>
  <c r="G229" i="8"/>
  <c r="D229" i="8" s="1"/>
  <c r="G230" i="8"/>
  <c r="D230" i="8" s="1"/>
  <c r="G231" i="8"/>
  <c r="G232" i="8"/>
  <c r="D232" i="8" s="1"/>
  <c r="G233" i="8"/>
  <c r="D233" i="8" s="1"/>
  <c r="G234" i="8"/>
  <c r="G235" i="8"/>
  <c r="G236" i="8"/>
  <c r="D236" i="8" s="1"/>
  <c r="G237" i="8"/>
  <c r="D237" i="8" s="1"/>
  <c r="G238" i="8"/>
  <c r="G239" i="8"/>
  <c r="G240" i="8"/>
  <c r="D240" i="8" s="1"/>
  <c r="G242" i="8"/>
  <c r="D242" i="8" s="1"/>
  <c r="G243" i="8"/>
  <c r="G244" i="8"/>
  <c r="G245" i="8"/>
  <c r="D245" i="8" s="1"/>
  <c r="G246" i="8"/>
  <c r="D246" i="8" s="1"/>
  <c r="G247" i="8"/>
  <c r="D247" i="8" s="1"/>
  <c r="G248" i="8"/>
  <c r="D248" i="8" s="1"/>
  <c r="G249" i="8"/>
  <c r="D249" i="8" s="1"/>
  <c r="G250" i="8"/>
  <c r="D250" i="8" s="1"/>
  <c r="G251" i="8"/>
  <c r="G252" i="8"/>
  <c r="G253" i="8"/>
  <c r="D253" i="8" s="1"/>
  <c r="G254" i="8"/>
  <c r="G255" i="8"/>
  <c r="G256" i="8"/>
  <c r="G257" i="8"/>
  <c r="D257" i="8" s="1"/>
  <c r="G258" i="8"/>
  <c r="D258" i="8" s="1"/>
  <c r="G17" i="8"/>
  <c r="D44" i="8"/>
  <c r="E71" i="8"/>
  <c r="D72" i="8"/>
  <c r="D93" i="8"/>
  <c r="D94" i="8"/>
  <c r="E108" i="8"/>
  <c r="E111" i="8"/>
  <c r="E112" i="8"/>
  <c r="E139" i="8"/>
  <c r="D140" i="8"/>
  <c r="E141" i="8"/>
  <c r="E143" i="8"/>
  <c r="D144" i="8"/>
  <c r="E145" i="8"/>
  <c r="E147" i="8"/>
  <c r="E149" i="8"/>
  <c r="E151" i="8"/>
  <c r="D152" i="8"/>
  <c r="E153" i="8"/>
  <c r="D156" i="8"/>
  <c r="E157" i="8"/>
  <c r="D170" i="8"/>
  <c r="E171" i="8"/>
  <c r="D175" i="8"/>
  <c r="E178" i="8"/>
  <c r="E186" i="8"/>
  <c r="D188" i="8"/>
  <c r="E188" i="8"/>
  <c r="D189" i="8"/>
  <c r="E189" i="8"/>
  <c r="E191" i="8"/>
  <c r="E196" i="8"/>
  <c r="D200" i="8"/>
  <c r="E209" i="8"/>
  <c r="D210" i="8"/>
  <c r="E210" i="8"/>
  <c r="E212" i="8"/>
  <c r="E213" i="8"/>
  <c r="D214" i="8"/>
  <c r="E214" i="8"/>
  <c r="E215" i="8"/>
  <c r="E216" i="8"/>
  <c r="D217" i="8"/>
  <c r="E217" i="8"/>
  <c r="E218" i="8"/>
  <c r="E220" i="8"/>
  <c r="D221" i="8"/>
  <c r="E221" i="8"/>
  <c r="E222" i="8"/>
  <c r="E224" i="8"/>
  <c r="E225" i="8"/>
  <c r="E226" i="8"/>
  <c r="D227" i="8"/>
  <c r="E227" i="8"/>
  <c r="E228" i="8"/>
  <c r="E230" i="8"/>
  <c r="D231" i="8"/>
  <c r="E231" i="8"/>
  <c r="E232" i="8"/>
  <c r="D234" i="8"/>
  <c r="E234" i="8"/>
  <c r="D235" i="8"/>
  <c r="E235" i="8"/>
  <c r="E236" i="8"/>
  <c r="D238" i="8"/>
  <c r="E238" i="8"/>
  <c r="D239" i="8"/>
  <c r="E239" i="8"/>
  <c r="E240" i="8"/>
  <c r="D243" i="8"/>
  <c r="E243" i="8"/>
  <c r="D244" i="8"/>
  <c r="E244" i="8"/>
  <c r="E245" i="8"/>
  <c r="D251" i="8"/>
  <c r="E251" i="8"/>
  <c r="D252" i="8"/>
  <c r="E252" i="8"/>
  <c r="D254" i="8"/>
  <c r="D255" i="8"/>
  <c r="E255" i="8"/>
  <c r="D256" i="8"/>
  <c r="E256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H19" i="8"/>
  <c r="I19" i="8"/>
  <c r="J19" i="8"/>
  <c r="J263" i="8" s="1"/>
  <c r="K19" i="8"/>
  <c r="L19" i="8"/>
  <c r="M19" i="8"/>
  <c r="N19" i="8"/>
  <c r="N263" i="8" s="1"/>
  <c r="O19" i="8"/>
  <c r="P19" i="8"/>
  <c r="Q19" i="8"/>
  <c r="R19" i="8"/>
  <c r="R263" i="8" s="1"/>
  <c r="S19" i="8"/>
  <c r="T19" i="8"/>
  <c r="T15" i="10"/>
  <c r="T118" i="10"/>
  <c r="T165" i="10"/>
  <c r="T168" i="10"/>
  <c r="T187" i="10"/>
  <c r="T206" i="10"/>
  <c r="T223" i="10"/>
  <c r="T241" i="10"/>
  <c r="T118" i="9"/>
  <c r="E118" i="9" s="1"/>
  <c r="T123" i="9"/>
  <c r="T129" i="9"/>
  <c r="T135" i="9"/>
  <c r="T165" i="9"/>
  <c r="T266" i="9" s="1"/>
  <c r="T168" i="9"/>
  <c r="T174" i="9"/>
  <c r="T180" i="9"/>
  <c r="T269" i="9" s="1"/>
  <c r="T206" i="9"/>
  <c r="T272" i="9" s="1"/>
  <c r="T241" i="9"/>
  <c r="T274" i="9" s="1"/>
  <c r="T15" i="7"/>
  <c r="T118" i="7"/>
  <c r="T129" i="7"/>
  <c r="E129" i="7" s="1"/>
  <c r="T135" i="7"/>
  <c r="E135" i="7" s="1"/>
  <c r="T165" i="7"/>
  <c r="T168" i="7"/>
  <c r="T174" i="7"/>
  <c r="T268" i="7" s="1"/>
  <c r="T180" i="7"/>
  <c r="T269" i="7" s="1"/>
  <c r="T241" i="7"/>
  <c r="T274" i="7" s="1"/>
  <c r="T36" i="6"/>
  <c r="T61" i="6"/>
  <c r="T61" i="8" s="1"/>
  <c r="T82" i="6"/>
  <c r="E82" i="6" s="1"/>
  <c r="T118" i="6"/>
  <c r="E118" i="6" s="1"/>
  <c r="T129" i="6"/>
  <c r="E129" i="6" s="1"/>
  <c r="T165" i="6"/>
  <c r="T266" i="6" s="1"/>
  <c r="T180" i="6"/>
  <c r="T206" i="6"/>
  <c r="T272" i="6" s="1"/>
  <c r="T223" i="6"/>
  <c r="T273" i="6" s="1"/>
  <c r="T16" i="8"/>
  <c r="T24" i="8"/>
  <c r="T25" i="8"/>
  <c r="T75" i="8"/>
  <c r="E75" i="8" s="1"/>
  <c r="T76" i="8"/>
  <c r="E76" i="8" s="1"/>
  <c r="T77" i="8"/>
  <c r="E77" i="8" s="1"/>
  <c r="T83" i="8"/>
  <c r="T82" i="8" s="1"/>
  <c r="E82" i="8" s="1"/>
  <c r="T96" i="8"/>
  <c r="T97" i="8"/>
  <c r="E97" i="8" s="1"/>
  <c r="T98" i="8"/>
  <c r="E98" i="8" s="1"/>
  <c r="T100" i="8"/>
  <c r="T101" i="8"/>
  <c r="E101" i="8" s="1"/>
  <c r="T102" i="8"/>
  <c r="E102" i="8" s="1"/>
  <c r="T103" i="8"/>
  <c r="E103" i="8" s="1"/>
  <c r="T104" i="8"/>
  <c r="E104" i="8" s="1"/>
  <c r="T105" i="8"/>
  <c r="E105" i="8" s="1"/>
  <c r="T106" i="8"/>
  <c r="E106" i="8" s="1"/>
  <c r="T107" i="8"/>
  <c r="E107" i="8" s="1"/>
  <c r="T115" i="8"/>
  <c r="E115" i="8" s="1"/>
  <c r="T116" i="8"/>
  <c r="E116" i="8" s="1"/>
  <c r="T117" i="8"/>
  <c r="E117" i="8" s="1"/>
  <c r="T119" i="8"/>
  <c r="E119" i="8" s="1"/>
  <c r="T120" i="8"/>
  <c r="E120" i="8" s="1"/>
  <c r="T121" i="8"/>
  <c r="E121" i="8" s="1"/>
  <c r="T122" i="8"/>
  <c r="E122" i="8" s="1"/>
  <c r="T136" i="8"/>
  <c r="E136" i="8" s="1"/>
  <c r="T137" i="8"/>
  <c r="E137" i="8" s="1"/>
  <c r="T138" i="8"/>
  <c r="E138" i="8" s="1"/>
  <c r="T158" i="8"/>
  <c r="E158" i="8" s="1"/>
  <c r="T159" i="8"/>
  <c r="E159" i="8" s="1"/>
  <c r="T160" i="8"/>
  <c r="E160" i="8" s="1"/>
  <c r="T161" i="8"/>
  <c r="E161" i="8" s="1"/>
  <c r="T162" i="8"/>
  <c r="E162" i="8" s="1"/>
  <c r="T163" i="8"/>
  <c r="E163" i="8" s="1"/>
  <c r="T164" i="8"/>
  <c r="E164" i="8" s="1"/>
  <c r="T166" i="8"/>
  <c r="T165" i="8" s="1"/>
  <c r="E165" i="8" s="1"/>
  <c r="T167" i="8"/>
  <c r="E167" i="8" s="1"/>
  <c r="T169" i="8"/>
  <c r="T173" i="8"/>
  <c r="E173" i="8" s="1"/>
  <c r="T179" i="8"/>
  <c r="E179" i="8" s="1"/>
  <c r="T181" i="8"/>
  <c r="E181" i="8" s="1"/>
  <c r="T182" i="8"/>
  <c r="E182" i="8" s="1"/>
  <c r="T183" i="8"/>
  <c r="E183" i="8" s="1"/>
  <c r="T184" i="8"/>
  <c r="E184" i="8" s="1"/>
  <c r="T185" i="8"/>
  <c r="E185" i="8" s="1"/>
  <c r="T207" i="8"/>
  <c r="E207" i="8" s="1"/>
  <c r="T208" i="8"/>
  <c r="E208" i="8" s="1"/>
  <c r="T15" i="4"/>
  <c r="T31" i="4"/>
  <c r="T49" i="4"/>
  <c r="T261" i="4" s="1"/>
  <c r="T260" i="4" s="1"/>
  <c r="T118" i="4"/>
  <c r="E118" i="4" s="1"/>
  <c r="T129" i="4"/>
  <c r="E129" i="4" s="1"/>
  <c r="T135" i="4"/>
  <c r="E135" i="4" s="1"/>
  <c r="T165" i="4"/>
  <c r="T168" i="4"/>
  <c r="T174" i="4"/>
  <c r="T180" i="4"/>
  <c r="T187" i="4"/>
  <c r="T271" i="4" s="1"/>
  <c r="T206" i="4"/>
  <c r="E206" i="4" s="1"/>
  <c r="E272" i="4" s="1"/>
  <c r="T223" i="4"/>
  <c r="E223" i="4" s="1"/>
  <c r="E273" i="4" s="1"/>
  <c r="T241" i="4"/>
  <c r="E241" i="4" s="1"/>
  <c r="E274" i="4" s="1"/>
  <c r="T16" i="1"/>
  <c r="T15" i="1" s="1"/>
  <c r="T20" i="1"/>
  <c r="T31" i="1"/>
  <c r="T49" i="1"/>
  <c r="T118" i="1"/>
  <c r="E118" i="1" s="1"/>
  <c r="T129" i="1"/>
  <c r="E129" i="1" s="1"/>
  <c r="T135" i="1"/>
  <c r="E135" i="1" s="1"/>
  <c r="T165" i="1"/>
  <c r="E165" i="1" s="1"/>
  <c r="E266" i="1" s="1"/>
  <c r="T168" i="1"/>
  <c r="T174" i="1"/>
  <c r="T180" i="1"/>
  <c r="T187" i="1"/>
  <c r="T271" i="1" s="1"/>
  <c r="T206" i="1"/>
  <c r="T223" i="1"/>
  <c r="E223" i="1" s="1"/>
  <c r="T241" i="1"/>
  <c r="E241" i="1" s="1"/>
  <c r="T18" i="5"/>
  <c r="T19" i="5"/>
  <c r="T35" i="5"/>
  <c r="T77" i="5"/>
  <c r="E77" i="5" s="1"/>
  <c r="T79" i="5"/>
  <c r="T80" i="5"/>
  <c r="T81" i="5"/>
  <c r="T87" i="5"/>
  <c r="T88" i="5"/>
  <c r="T96" i="5"/>
  <c r="T97" i="5"/>
  <c r="E97" i="5" s="1"/>
  <c r="T98" i="5"/>
  <c r="E98" i="5" s="1"/>
  <c r="T100" i="5"/>
  <c r="E100" i="5" s="1"/>
  <c r="T101" i="5"/>
  <c r="T102" i="5"/>
  <c r="E102" i="5" s="1"/>
  <c r="T103" i="5"/>
  <c r="E103" i="5" s="1"/>
  <c r="T104" i="5"/>
  <c r="E104" i="5" s="1"/>
  <c r="T112" i="5"/>
  <c r="T113" i="5"/>
  <c r="T114" i="5"/>
  <c r="T115" i="5"/>
  <c r="E115" i="5" s="1"/>
  <c r="T116" i="5"/>
  <c r="E116" i="5" s="1"/>
  <c r="T117" i="5"/>
  <c r="T119" i="5"/>
  <c r="T121" i="5"/>
  <c r="E121" i="5" s="1"/>
  <c r="T122" i="5"/>
  <c r="T130" i="5"/>
  <c r="E130" i="5" s="1"/>
  <c r="T136" i="5"/>
  <c r="T137" i="5"/>
  <c r="E137" i="5" s="1"/>
  <c r="T138" i="5"/>
  <c r="T139" i="5"/>
  <c r="T155" i="5"/>
  <c r="T156" i="5"/>
  <c r="T157" i="5"/>
  <c r="T158" i="5"/>
  <c r="T159" i="5"/>
  <c r="T160" i="5"/>
  <c r="T161" i="5"/>
  <c r="T162" i="5"/>
  <c r="T163" i="5"/>
  <c r="E163" i="5" s="1"/>
  <c r="T164" i="5"/>
  <c r="E164" i="5" s="1"/>
  <c r="T166" i="5"/>
  <c r="E166" i="5" s="1"/>
  <c r="T167" i="5"/>
  <c r="T169" i="5"/>
  <c r="T170" i="5"/>
  <c r="T171" i="5"/>
  <c r="T172" i="5"/>
  <c r="T173" i="5"/>
  <c r="T175" i="5"/>
  <c r="E175" i="5" s="1"/>
  <c r="T176" i="5"/>
  <c r="E176" i="5" s="1"/>
  <c r="T177" i="5"/>
  <c r="E177" i="5" s="1"/>
  <c r="T178" i="5"/>
  <c r="E178" i="5" s="1"/>
  <c r="T179" i="5"/>
  <c r="E179" i="5" s="1"/>
  <c r="T181" i="5"/>
  <c r="E181" i="5" s="1"/>
  <c r="T182" i="5"/>
  <c r="T183" i="5"/>
  <c r="E183" i="5" s="1"/>
  <c r="T184" i="5"/>
  <c r="E184" i="5" s="1"/>
  <c r="T185" i="5"/>
  <c r="E185" i="5" s="1"/>
  <c r="T188" i="5"/>
  <c r="T189" i="5"/>
  <c r="T190" i="5"/>
  <c r="E190" i="5" s="1"/>
  <c r="T191" i="5"/>
  <c r="E191" i="5" s="1"/>
  <c r="T192" i="5"/>
  <c r="T193" i="5"/>
  <c r="E193" i="5" s="1"/>
  <c r="T194" i="5"/>
  <c r="E194" i="5" s="1"/>
  <c r="T195" i="5"/>
  <c r="E195" i="5" s="1"/>
  <c r="T196" i="5"/>
  <c r="T197" i="5"/>
  <c r="T198" i="5"/>
  <c r="E198" i="5" s="1"/>
  <c r="T199" i="5"/>
  <c r="E199" i="5" s="1"/>
  <c r="T200" i="5"/>
  <c r="E200" i="5" s="1"/>
  <c r="T201" i="5"/>
  <c r="E201" i="5" s="1"/>
  <c r="T202" i="5"/>
  <c r="E202" i="5" s="1"/>
  <c r="T203" i="5"/>
  <c r="E203" i="5" s="1"/>
  <c r="T204" i="5"/>
  <c r="T205" i="5"/>
  <c r="T207" i="5"/>
  <c r="E207" i="5" s="1"/>
  <c r="T208" i="5"/>
  <c r="E208" i="5" s="1"/>
  <c r="T209" i="5"/>
  <c r="T210" i="5"/>
  <c r="E210" i="5" s="1"/>
  <c r="T211" i="5"/>
  <c r="E211" i="5" s="1"/>
  <c r="T212" i="5"/>
  <c r="E212" i="5" s="1"/>
  <c r="T213" i="5"/>
  <c r="T214" i="5"/>
  <c r="T215" i="5"/>
  <c r="E215" i="5" s="1"/>
  <c r="T216" i="5"/>
  <c r="E216" i="5" s="1"/>
  <c r="T217" i="5"/>
  <c r="T218" i="5"/>
  <c r="E218" i="5" s="1"/>
  <c r="T219" i="5"/>
  <c r="E219" i="5" s="1"/>
  <c r="T220" i="5"/>
  <c r="E220" i="5" s="1"/>
  <c r="T221" i="5"/>
  <c r="T222" i="5"/>
  <c r="E222" i="5" s="1"/>
  <c r="T224" i="5"/>
  <c r="E224" i="5" s="1"/>
  <c r="T225" i="5"/>
  <c r="E225" i="5" s="1"/>
  <c r="T226" i="5"/>
  <c r="E226" i="5" s="1"/>
  <c r="T227" i="5"/>
  <c r="T228" i="5"/>
  <c r="E228" i="5" s="1"/>
  <c r="T229" i="5"/>
  <c r="E229" i="5" s="1"/>
  <c r="T230" i="5"/>
  <c r="E230" i="5" s="1"/>
  <c r="T231" i="5"/>
  <c r="E231" i="5" s="1"/>
  <c r="T232" i="5"/>
  <c r="E232" i="5" s="1"/>
  <c r="T233" i="5"/>
  <c r="E233" i="5" s="1"/>
  <c r="T234" i="5"/>
  <c r="E234" i="5" s="1"/>
  <c r="T235" i="5"/>
  <c r="E235" i="5" s="1"/>
  <c r="T236" i="5"/>
  <c r="E236" i="5" s="1"/>
  <c r="T237" i="5"/>
  <c r="E237" i="5" s="1"/>
  <c r="T238" i="5"/>
  <c r="E238" i="5" s="1"/>
  <c r="T239" i="5"/>
  <c r="E239" i="5" s="1"/>
  <c r="T240" i="5"/>
  <c r="E240" i="5" s="1"/>
  <c r="T242" i="5"/>
  <c r="E242" i="5" s="1"/>
  <c r="T243" i="5"/>
  <c r="T244" i="5"/>
  <c r="E244" i="5" s="1"/>
  <c r="T245" i="5"/>
  <c r="E245" i="5" s="1"/>
  <c r="T246" i="5"/>
  <c r="E246" i="5" s="1"/>
  <c r="T247" i="5"/>
  <c r="T248" i="5"/>
  <c r="E248" i="5" s="1"/>
  <c r="T249" i="5"/>
  <c r="E249" i="5" s="1"/>
  <c r="T250" i="5"/>
  <c r="E250" i="5" s="1"/>
  <c r="T251" i="5"/>
  <c r="T252" i="5"/>
  <c r="E252" i="5" s="1"/>
  <c r="T253" i="5"/>
  <c r="T254" i="5"/>
  <c r="E254" i="5" s="1"/>
  <c r="T255" i="5"/>
  <c r="T256" i="5"/>
  <c r="E256" i="5" s="1"/>
  <c r="T257" i="5"/>
  <c r="E257" i="5" s="1"/>
  <c r="T258" i="5"/>
  <c r="E258" i="5" s="1"/>
  <c r="Q85" i="9"/>
  <c r="Q265" i="9" s="1"/>
  <c r="S123" i="9"/>
  <c r="G123" i="9"/>
  <c r="S200" i="10"/>
  <c r="G123" i="10"/>
  <c r="D110" i="8" l="1"/>
  <c r="E165" i="6"/>
  <c r="E126" i="8"/>
  <c r="E123" i="6"/>
  <c r="E123" i="8" s="1"/>
  <c r="E99" i="6"/>
  <c r="D200" i="10"/>
  <c r="F200" i="10" s="1"/>
  <c r="S187" i="10"/>
  <c r="S271" i="10" s="1"/>
  <c r="D126" i="8"/>
  <c r="D123" i="6"/>
  <c r="D123" i="8" s="1"/>
  <c r="E269" i="6"/>
  <c r="E269" i="1"/>
  <c r="T272" i="1"/>
  <c r="E206" i="1"/>
  <c r="E168" i="1"/>
  <c r="E267" i="1" s="1"/>
  <c r="T267" i="1"/>
  <c r="T269" i="6"/>
  <c r="E180" i="6"/>
  <c r="E206" i="10"/>
  <c r="T272" i="10"/>
  <c r="T269" i="1"/>
  <c r="E180" i="1"/>
  <c r="T268" i="4"/>
  <c r="E174" i="4"/>
  <c r="E168" i="7"/>
  <c r="T267" i="7"/>
  <c r="E118" i="7"/>
  <c r="T85" i="7"/>
  <c r="E168" i="10"/>
  <c r="T267" i="10"/>
  <c r="P263" i="8"/>
  <c r="L263" i="8"/>
  <c r="H263" i="8"/>
  <c r="D79" i="8"/>
  <c r="D74" i="8"/>
  <c r="D70" i="8"/>
  <c r="D62" i="8"/>
  <c r="D223" i="6"/>
  <c r="D273" i="6"/>
  <c r="T266" i="4"/>
  <c r="E165" i="4"/>
  <c r="T267" i="9"/>
  <c r="E168" i="9"/>
  <c r="E118" i="10"/>
  <c r="T85" i="10"/>
  <c r="T48" i="1"/>
  <c r="T261" i="1"/>
  <c r="T260" i="1" s="1"/>
  <c r="T269" i="4"/>
  <c r="E180" i="4"/>
  <c r="T49" i="6"/>
  <c r="E61" i="6"/>
  <c r="T268" i="1"/>
  <c r="E174" i="1"/>
  <c r="E20" i="1"/>
  <c r="T264" i="1"/>
  <c r="E168" i="4"/>
  <c r="T267" i="4"/>
  <c r="E165" i="7"/>
  <c r="T266" i="7"/>
  <c r="T268" i="9"/>
  <c r="E174" i="9"/>
  <c r="E268" i="9" s="1"/>
  <c r="E223" i="10"/>
  <c r="T273" i="10"/>
  <c r="E165" i="10"/>
  <c r="T266" i="10"/>
  <c r="D178" i="8"/>
  <c r="D241" i="6"/>
  <c r="D274" i="6" s="1"/>
  <c r="E219" i="8"/>
  <c r="E211" i="8"/>
  <c r="E258" i="8"/>
  <c r="E254" i="8"/>
  <c r="E250" i="8"/>
  <c r="E246" i="8"/>
  <c r="R84" i="6"/>
  <c r="R264" i="6" s="1"/>
  <c r="R85" i="6"/>
  <c r="N84" i="6"/>
  <c r="N85" i="6"/>
  <c r="J84" i="6"/>
  <c r="J85" i="6"/>
  <c r="I15" i="10"/>
  <c r="Q48" i="10"/>
  <c r="Q261" i="10"/>
  <c r="Q260" i="10" s="1"/>
  <c r="M48" i="10"/>
  <c r="M261" i="10"/>
  <c r="M260" i="10" s="1"/>
  <c r="I48" i="10"/>
  <c r="I261" i="10"/>
  <c r="I260" i="10" s="1"/>
  <c r="S48" i="10"/>
  <c r="S262" i="10"/>
  <c r="O48" i="10"/>
  <c r="O262" i="10"/>
  <c r="E180" i="10"/>
  <c r="H269" i="10"/>
  <c r="F191" i="9"/>
  <c r="F184" i="9"/>
  <c r="F179" i="9"/>
  <c r="F177" i="9"/>
  <c r="F175" i="9"/>
  <c r="F173" i="9"/>
  <c r="F171" i="9"/>
  <c r="F169" i="9"/>
  <c r="F167" i="9"/>
  <c r="E165" i="9"/>
  <c r="F163" i="9"/>
  <c r="F161" i="9"/>
  <c r="F159" i="9"/>
  <c r="F157" i="9"/>
  <c r="F155" i="9"/>
  <c r="F153" i="9"/>
  <c r="F151" i="9"/>
  <c r="F149" i="9"/>
  <c r="F147" i="9"/>
  <c r="F145" i="9"/>
  <c r="F143" i="9"/>
  <c r="F141" i="9"/>
  <c r="F139" i="9"/>
  <c r="F137" i="9"/>
  <c r="F122" i="9"/>
  <c r="F120" i="9"/>
  <c r="F116" i="9"/>
  <c r="F114" i="9"/>
  <c r="F112" i="9"/>
  <c r="F110" i="9"/>
  <c r="F108" i="9"/>
  <c r="F106" i="9"/>
  <c r="F104" i="9"/>
  <c r="F102" i="9"/>
  <c r="F100" i="9"/>
  <c r="F97" i="9"/>
  <c r="F95" i="9"/>
  <c r="F93" i="9"/>
  <c r="F91" i="9"/>
  <c r="F88" i="9"/>
  <c r="F80" i="9"/>
  <c r="F77" i="9"/>
  <c r="F75" i="9"/>
  <c r="F73" i="9"/>
  <c r="F71" i="9"/>
  <c r="F67" i="9"/>
  <c r="E36" i="9"/>
  <c r="F36" i="9" s="1"/>
  <c r="F37" i="9"/>
  <c r="F34" i="9"/>
  <c r="E266" i="9"/>
  <c r="R84" i="9"/>
  <c r="R269" i="9"/>
  <c r="N84" i="9"/>
  <c r="N269" i="9"/>
  <c r="F124" i="9"/>
  <c r="R48" i="9"/>
  <c r="R261" i="9"/>
  <c r="N260" i="9"/>
  <c r="I260" i="9"/>
  <c r="N264" i="9"/>
  <c r="T31" i="9"/>
  <c r="P31" i="9"/>
  <c r="K31" i="9"/>
  <c r="K31" i="7"/>
  <c r="E36" i="7"/>
  <c r="E266" i="7"/>
  <c r="E273" i="10"/>
  <c r="E267" i="10"/>
  <c r="E269" i="10"/>
  <c r="T48" i="10"/>
  <c r="T261" i="10"/>
  <c r="T260" i="10" s="1"/>
  <c r="P48" i="10"/>
  <c r="P261" i="10"/>
  <c r="P260" i="10" s="1"/>
  <c r="L48" i="10"/>
  <c r="L261" i="10"/>
  <c r="L260" i="10" s="1"/>
  <c r="J262" i="10"/>
  <c r="E78" i="10"/>
  <c r="D187" i="10"/>
  <c r="D271" i="10" s="1"/>
  <c r="D274" i="9"/>
  <c r="E135" i="9"/>
  <c r="E86" i="9"/>
  <c r="Q48" i="9"/>
  <c r="Q261" i="9"/>
  <c r="Q260" i="9" s="1"/>
  <c r="R264" i="9"/>
  <c r="H15" i="7"/>
  <c r="E20" i="7"/>
  <c r="E15" i="7" s="1"/>
  <c r="E268" i="4"/>
  <c r="E266" i="4"/>
  <c r="E21" i="5"/>
  <c r="E29" i="5"/>
  <c r="E46" i="5"/>
  <c r="E42" i="5"/>
  <c r="E40" i="5"/>
  <c r="E38" i="5"/>
  <c r="D99" i="6"/>
  <c r="E266" i="6"/>
  <c r="T31" i="6"/>
  <c r="P85" i="6"/>
  <c r="L85" i="6"/>
  <c r="H85" i="6"/>
  <c r="S260" i="10"/>
  <c r="O260" i="10"/>
  <c r="K48" i="10"/>
  <c r="F51" i="10"/>
  <c r="E89" i="10"/>
  <c r="E89" i="9"/>
  <c r="F68" i="9"/>
  <c r="E273" i="9"/>
  <c r="E267" i="9"/>
  <c r="E223" i="9"/>
  <c r="P84" i="9"/>
  <c r="P264" i="9" s="1"/>
  <c r="P269" i="9"/>
  <c r="L269" i="9"/>
  <c r="E99" i="9"/>
  <c r="F99" i="9" s="1"/>
  <c r="R260" i="9"/>
  <c r="T48" i="9"/>
  <c r="T261" i="9"/>
  <c r="T260" i="9" s="1"/>
  <c r="P48" i="9"/>
  <c r="P261" i="9"/>
  <c r="P260" i="9" s="1"/>
  <c r="K48" i="9"/>
  <c r="K261" i="9"/>
  <c r="K260" i="9" s="1"/>
  <c r="R31" i="9"/>
  <c r="I31" i="9"/>
  <c r="S261" i="7"/>
  <c r="S260" i="7" s="1"/>
  <c r="O261" i="4"/>
  <c r="E111" i="5"/>
  <c r="E107" i="5"/>
  <c r="D170" i="5"/>
  <c r="E168" i="6"/>
  <c r="P48" i="6"/>
  <c r="R48" i="6"/>
  <c r="E272" i="10"/>
  <c r="E266" i="10"/>
  <c r="F40" i="10"/>
  <c r="E268" i="10"/>
  <c r="R260" i="10"/>
  <c r="N260" i="10"/>
  <c r="J260" i="10"/>
  <c r="E86" i="10"/>
  <c r="F238" i="9"/>
  <c r="F236" i="9"/>
  <c r="F234" i="9"/>
  <c r="F232" i="9"/>
  <c r="F230" i="9"/>
  <c r="F228" i="9"/>
  <c r="F226" i="9"/>
  <c r="F224" i="9"/>
  <c r="F221" i="9"/>
  <c r="F219" i="9"/>
  <c r="F204" i="9"/>
  <c r="F202" i="9"/>
  <c r="F200" i="9"/>
  <c r="F196" i="9"/>
  <c r="F194" i="9"/>
  <c r="D180" i="9"/>
  <c r="D86" i="9"/>
  <c r="D263" i="9"/>
  <c r="D273" i="9"/>
  <c r="D269" i="9"/>
  <c r="L85" i="9"/>
  <c r="L265" i="9" s="1"/>
  <c r="H85" i="9"/>
  <c r="L260" i="9"/>
  <c r="S48" i="9"/>
  <c r="S261" i="9"/>
  <c r="S260" i="9" s="1"/>
  <c r="O261" i="9"/>
  <c r="L31" i="7"/>
  <c r="R259" i="7"/>
  <c r="E268" i="1"/>
  <c r="O261" i="1"/>
  <c r="E269" i="4"/>
  <c r="O31" i="7"/>
  <c r="Q264" i="7"/>
  <c r="E273" i="7"/>
  <c r="T261" i="7"/>
  <c r="T260" i="7" s="1"/>
  <c r="M261" i="7"/>
  <c r="F59" i="9"/>
  <c r="F57" i="9"/>
  <c r="F55" i="9"/>
  <c r="R261" i="4"/>
  <c r="R260" i="4" s="1"/>
  <c r="D143" i="5"/>
  <c r="P274" i="5"/>
  <c r="J262" i="5"/>
  <c r="E70" i="5"/>
  <c r="E263" i="7"/>
  <c r="R261" i="7"/>
  <c r="R260" i="7" s="1"/>
  <c r="F58" i="9"/>
  <c r="F56" i="9"/>
  <c r="E36" i="1"/>
  <c r="P260" i="1"/>
  <c r="H31" i="4"/>
  <c r="P261" i="4"/>
  <c r="P260" i="4" s="1"/>
  <c r="I261" i="4"/>
  <c r="Q16" i="5"/>
  <c r="P266" i="5"/>
  <c r="L266" i="5"/>
  <c r="H266" i="5"/>
  <c r="H272" i="5"/>
  <c r="E272" i="1"/>
  <c r="D94" i="5"/>
  <c r="D90" i="5"/>
  <c r="D26" i="5"/>
  <c r="E267" i="4"/>
  <c r="L261" i="7"/>
  <c r="L260" i="7" s="1"/>
  <c r="E206" i="7"/>
  <c r="E272" i="7" s="1"/>
  <c r="E267" i="7"/>
  <c r="E85" i="7"/>
  <c r="H85" i="7"/>
  <c r="H84" i="7" s="1"/>
  <c r="E80" i="8"/>
  <c r="E49" i="7"/>
  <c r="E48" i="7" s="1"/>
  <c r="E135" i="6"/>
  <c r="T274" i="10"/>
  <c r="E241" i="10"/>
  <c r="T271" i="10"/>
  <c r="E187" i="10"/>
  <c r="F187" i="10" s="1"/>
  <c r="P84" i="10"/>
  <c r="P264" i="10" s="1"/>
  <c r="P265" i="10"/>
  <c r="Q84" i="10"/>
  <c r="Q264" i="10" s="1"/>
  <c r="Q265" i="10"/>
  <c r="T84" i="10"/>
  <c r="T264" i="10" s="1"/>
  <c r="T265" i="10"/>
  <c r="L84" i="10"/>
  <c r="L264" i="10" s="1"/>
  <c r="L265" i="10"/>
  <c r="J84" i="9"/>
  <c r="J264" i="9" s="1"/>
  <c r="E123" i="9"/>
  <c r="F126" i="9"/>
  <c r="T85" i="9"/>
  <c r="T265" i="9" s="1"/>
  <c r="F128" i="9"/>
  <c r="Q84" i="9"/>
  <c r="D69" i="8"/>
  <c r="D60" i="8"/>
  <c r="D54" i="8"/>
  <c r="D88" i="8"/>
  <c r="E94" i="8"/>
  <c r="E92" i="8"/>
  <c r="E90" i="8"/>
  <c r="E109" i="8"/>
  <c r="D108" i="8"/>
  <c r="E172" i="8"/>
  <c r="D52" i="8"/>
  <c r="E87" i="8"/>
  <c r="E113" i="8"/>
  <c r="D198" i="8"/>
  <c r="D194" i="8"/>
  <c r="D176" i="8"/>
  <c r="D171" i="8"/>
  <c r="D112" i="8"/>
  <c r="D95" i="8"/>
  <c r="D66" i="8"/>
  <c r="D58" i="8"/>
  <c r="E23" i="8"/>
  <c r="E21" i="8"/>
  <c r="E29" i="8"/>
  <c r="D26" i="8"/>
  <c r="D46" i="8"/>
  <c r="E43" i="8"/>
  <c r="E39" i="8"/>
  <c r="D57" i="8"/>
  <c r="D53" i="8"/>
  <c r="E95" i="8"/>
  <c r="E93" i="8"/>
  <c r="E91" i="8"/>
  <c r="E34" i="5"/>
  <c r="D44" i="5"/>
  <c r="D42" i="5"/>
  <c r="D41" i="5"/>
  <c r="D39" i="5"/>
  <c r="D151" i="5"/>
  <c r="D147" i="5"/>
  <c r="D50" i="5"/>
  <c r="L274" i="5"/>
  <c r="E25" i="5"/>
  <c r="D30" i="5"/>
  <c r="T266" i="1"/>
  <c r="D120" i="5"/>
  <c r="P135" i="5"/>
  <c r="L135" i="5"/>
  <c r="H135" i="5"/>
  <c r="D111" i="8"/>
  <c r="D90" i="8"/>
  <c r="D73" i="8"/>
  <c r="K223" i="8"/>
  <c r="L241" i="8"/>
  <c r="D56" i="8"/>
  <c r="D28" i="8"/>
  <c r="E74" i="8"/>
  <c r="E242" i="8"/>
  <c r="E176" i="8"/>
  <c r="E174" i="7"/>
  <c r="E180" i="7"/>
  <c r="E269" i="7" s="1"/>
  <c r="F50" i="10"/>
  <c r="F242" i="9"/>
  <c r="E241" i="9"/>
  <c r="F182" i="9"/>
  <c r="E180" i="9"/>
  <c r="F180" i="9" s="1"/>
  <c r="E129" i="9"/>
  <c r="F129" i="9" s="1"/>
  <c r="F130" i="9"/>
  <c r="H84" i="9"/>
  <c r="H264" i="9" s="1"/>
  <c r="H265" i="9"/>
  <c r="H48" i="9"/>
  <c r="H261" i="9"/>
  <c r="H260" i="9" s="1"/>
  <c r="F33" i="10"/>
  <c r="F41" i="9"/>
  <c r="L259" i="7"/>
  <c r="N259" i="4"/>
  <c r="H31" i="1"/>
  <c r="H85" i="1"/>
  <c r="H84" i="1" s="1"/>
  <c r="H264" i="1" s="1"/>
  <c r="T274" i="4"/>
  <c r="T273" i="4"/>
  <c r="T272" i="4"/>
  <c r="N261" i="4"/>
  <c r="N260" i="4" s="1"/>
  <c r="L259" i="4"/>
  <c r="L261" i="4"/>
  <c r="L260" i="4" s="1"/>
  <c r="H261" i="4"/>
  <c r="E262" i="4"/>
  <c r="E274" i="1"/>
  <c r="T274" i="1"/>
  <c r="T273" i="1"/>
  <c r="N259" i="1"/>
  <c r="N261" i="1"/>
  <c r="N260" i="1" s="1"/>
  <c r="L259" i="1"/>
  <c r="L261" i="1"/>
  <c r="L260" i="1" s="1"/>
  <c r="H261" i="1"/>
  <c r="H260" i="1" s="1"/>
  <c r="E262" i="1"/>
  <c r="E273" i="1"/>
  <c r="E15" i="1"/>
  <c r="H85" i="4"/>
  <c r="H265" i="4" s="1"/>
  <c r="N261" i="7"/>
  <c r="N260" i="7" s="1"/>
  <c r="P261" i="7"/>
  <c r="P260" i="7" s="1"/>
  <c r="E268" i="7"/>
  <c r="J261" i="7"/>
  <c r="J260" i="7" s="1"/>
  <c r="H261" i="7"/>
  <c r="E262" i="7"/>
  <c r="G261" i="7"/>
  <c r="D174" i="6"/>
  <c r="D268" i="6" s="1"/>
  <c r="D78" i="6"/>
  <c r="D262" i="6" s="1"/>
  <c r="D168" i="6"/>
  <c r="D267" i="6" s="1"/>
  <c r="E267" i="6"/>
  <c r="D135" i="6"/>
  <c r="D86" i="6"/>
  <c r="D89" i="6"/>
  <c r="N259" i="7"/>
  <c r="F33" i="9"/>
  <c r="P261" i="6"/>
  <c r="E49" i="6"/>
  <c r="E174" i="6"/>
  <c r="E89" i="6"/>
  <c r="E85" i="6" s="1"/>
  <c r="E84" i="6" s="1"/>
  <c r="E78" i="6"/>
  <c r="F46" i="10"/>
  <c r="E274" i="10"/>
  <c r="F43" i="10"/>
  <c r="H84" i="10"/>
  <c r="H265" i="10"/>
  <c r="M78" i="8"/>
  <c r="E68" i="5"/>
  <c r="E23" i="5"/>
  <c r="D24" i="5"/>
  <c r="D22" i="5"/>
  <c r="D28" i="5"/>
  <c r="E27" i="5"/>
  <c r="D37" i="5"/>
  <c r="E45" i="5"/>
  <c r="E43" i="5"/>
  <c r="E41" i="5"/>
  <c r="E39" i="5"/>
  <c r="D76" i="5"/>
  <c r="D74" i="5"/>
  <c r="D72" i="5"/>
  <c r="D70" i="5"/>
  <c r="E66" i="5"/>
  <c r="E64" i="5"/>
  <c r="E62" i="5"/>
  <c r="E60" i="5"/>
  <c r="E58" i="5"/>
  <c r="E56" i="5"/>
  <c r="E54" i="5"/>
  <c r="E52" i="5"/>
  <c r="E93" i="5"/>
  <c r="D92" i="5"/>
  <c r="E91" i="5"/>
  <c r="D110" i="5"/>
  <c r="E109" i="5"/>
  <c r="D108" i="5"/>
  <c r="D106" i="5"/>
  <c r="D153" i="5"/>
  <c r="E152" i="5"/>
  <c r="E150" i="5"/>
  <c r="D149" i="5"/>
  <c r="E148" i="5"/>
  <c r="E146" i="5"/>
  <c r="D145" i="5"/>
  <c r="E144" i="5"/>
  <c r="E142" i="5"/>
  <c r="D141" i="5"/>
  <c r="E140" i="5"/>
  <c r="D171" i="5"/>
  <c r="E154" i="5"/>
  <c r="P269" i="5"/>
  <c r="L269" i="5"/>
  <c r="H269" i="5"/>
  <c r="J268" i="5"/>
  <c r="N266" i="5"/>
  <c r="J266" i="5"/>
  <c r="T36" i="5"/>
  <c r="P36" i="5"/>
  <c r="L36" i="5"/>
  <c r="H36" i="5"/>
  <c r="N36" i="5"/>
  <c r="J36" i="5"/>
  <c r="E105" i="5"/>
  <c r="Q268" i="5"/>
  <c r="P273" i="5"/>
  <c r="L273" i="5"/>
  <c r="H273" i="5"/>
  <c r="H168" i="5"/>
  <c r="Q272" i="5"/>
  <c r="E262" i="10"/>
  <c r="H48" i="10"/>
  <c r="H261" i="10"/>
  <c r="H260" i="10" s="1"/>
  <c r="E263" i="9"/>
  <c r="D123" i="9"/>
  <c r="Q47" i="9"/>
  <c r="T84" i="9"/>
  <c r="T264" i="9" s="1"/>
  <c r="R47" i="9"/>
  <c r="P47" i="9"/>
  <c r="D30" i="8"/>
  <c r="M86" i="8"/>
  <c r="N206" i="8"/>
  <c r="N272" i="8" s="1"/>
  <c r="D23" i="8"/>
  <c r="R266" i="8"/>
  <c r="N266" i="8"/>
  <c r="J266" i="8"/>
  <c r="M262" i="8"/>
  <c r="H86" i="8"/>
  <c r="J265" i="7"/>
  <c r="K86" i="8"/>
  <c r="D42" i="8"/>
  <c r="D38" i="8"/>
  <c r="S78" i="8"/>
  <c r="S262" i="8" s="1"/>
  <c r="T168" i="8"/>
  <c r="J36" i="8"/>
  <c r="T86" i="8"/>
  <c r="P99" i="8"/>
  <c r="R265" i="6"/>
  <c r="N265" i="6"/>
  <c r="J265" i="6"/>
  <c r="N264" i="6"/>
  <c r="Q86" i="8"/>
  <c r="L168" i="8"/>
  <c r="T263" i="8"/>
  <c r="S36" i="8"/>
  <c r="K36" i="8"/>
  <c r="J49" i="8"/>
  <c r="J261" i="8" s="1"/>
  <c r="R89" i="8"/>
  <c r="P241" i="8"/>
  <c r="G86" i="8"/>
  <c r="L86" i="8"/>
  <c r="S86" i="8"/>
  <c r="O86" i="8"/>
  <c r="L99" i="8"/>
  <c r="H99" i="8"/>
  <c r="N135" i="8"/>
  <c r="R36" i="8"/>
  <c r="N36" i="8"/>
  <c r="T49" i="8"/>
  <c r="T261" i="8" s="1"/>
  <c r="R49" i="8"/>
  <c r="P89" i="8"/>
  <c r="L89" i="8"/>
  <c r="D21" i="8"/>
  <c r="P86" i="8"/>
  <c r="P223" i="8"/>
  <c r="P273" i="8" s="1"/>
  <c r="H223" i="8"/>
  <c r="H273" i="8" s="1"/>
  <c r="L89" i="5"/>
  <c r="M36" i="5"/>
  <c r="I36" i="5"/>
  <c r="J265" i="4"/>
  <c r="P89" i="5"/>
  <c r="H89" i="5"/>
  <c r="D38" i="5"/>
  <c r="Q99" i="5"/>
  <c r="E84" i="1"/>
  <c r="E264" i="1" s="1"/>
  <c r="H265" i="1"/>
  <c r="H118" i="5"/>
  <c r="E17" i="5"/>
  <c r="S36" i="5"/>
  <c r="O36" i="5"/>
  <c r="J49" i="5"/>
  <c r="S20" i="5"/>
  <c r="O20" i="5"/>
  <c r="K20" i="5"/>
  <c r="P20" i="5"/>
  <c r="L118" i="5"/>
  <c r="L48" i="9"/>
  <c r="N48" i="9"/>
  <c r="I48" i="9"/>
  <c r="J48" i="9"/>
  <c r="J47" i="9" s="1"/>
  <c r="E78" i="9"/>
  <c r="E262" i="6"/>
  <c r="H260" i="7"/>
  <c r="E34" i="8"/>
  <c r="E36" i="4"/>
  <c r="H260" i="4"/>
  <c r="H32" i="5"/>
  <c r="D32" i="9"/>
  <c r="D31" i="9" s="1"/>
  <c r="G31" i="9"/>
  <c r="D36" i="6"/>
  <c r="G31" i="7"/>
  <c r="E32" i="10"/>
  <c r="H31" i="9"/>
  <c r="E32" i="7"/>
  <c r="Q16" i="9"/>
  <c r="S15" i="9"/>
  <c r="T15" i="9"/>
  <c r="N78" i="8"/>
  <c r="E22" i="8"/>
  <c r="K273" i="8"/>
  <c r="L49" i="8"/>
  <c r="L261" i="8" s="1"/>
  <c r="Q78" i="8"/>
  <c r="O78" i="8"/>
  <c r="K78" i="8"/>
  <c r="N89" i="8"/>
  <c r="L267" i="8"/>
  <c r="R78" i="8"/>
  <c r="R48" i="8" s="1"/>
  <c r="T78" i="8"/>
  <c r="T262" i="8" s="1"/>
  <c r="J86" i="8"/>
  <c r="J89" i="8"/>
  <c r="P168" i="8"/>
  <c r="E190" i="8"/>
  <c r="R261" i="8"/>
  <c r="P274" i="8"/>
  <c r="G241" i="8"/>
  <c r="G168" i="8"/>
  <c r="G267" i="8" s="1"/>
  <c r="G135" i="8"/>
  <c r="G99" i="8"/>
  <c r="G78" i="8"/>
  <c r="G262" i="8" s="1"/>
  <c r="G49" i="8"/>
  <c r="L20" i="8"/>
  <c r="L78" i="8"/>
  <c r="R86" i="8"/>
  <c r="N86" i="8"/>
  <c r="Q187" i="8"/>
  <c r="Q271" i="8" s="1"/>
  <c r="M187" i="8"/>
  <c r="M271" i="8" s="1"/>
  <c r="I187" i="8"/>
  <c r="I271" i="8" s="1"/>
  <c r="R206" i="8"/>
  <c r="J206" i="8"/>
  <c r="H241" i="8"/>
  <c r="E249" i="8"/>
  <c r="S241" i="8"/>
  <c r="T15" i="6"/>
  <c r="T99" i="8"/>
  <c r="O262" i="8"/>
  <c r="K262" i="8"/>
  <c r="E86" i="8"/>
  <c r="G187" i="8"/>
  <c r="G271" i="8" s="1"/>
  <c r="G174" i="8"/>
  <c r="G268" i="8" s="1"/>
  <c r="G20" i="8"/>
  <c r="T266" i="8"/>
  <c r="T174" i="8"/>
  <c r="T268" i="8" s="1"/>
  <c r="R187" i="8"/>
  <c r="R271" i="8" s="1"/>
  <c r="N187" i="8"/>
  <c r="N271" i="8" s="1"/>
  <c r="J187" i="8"/>
  <c r="J271" i="8" s="1"/>
  <c r="T89" i="8"/>
  <c r="D17" i="8"/>
  <c r="G36" i="8"/>
  <c r="G274" i="8"/>
  <c r="P267" i="8"/>
  <c r="S274" i="8"/>
  <c r="O187" i="8"/>
  <c r="O271" i="8" s="1"/>
  <c r="K187" i="8"/>
  <c r="K271" i="8" s="1"/>
  <c r="L223" i="8"/>
  <c r="L273" i="8" s="1"/>
  <c r="E247" i="8"/>
  <c r="G223" i="8"/>
  <c r="G273" i="8" s="1"/>
  <c r="G206" i="8"/>
  <c r="G272" i="8" s="1"/>
  <c r="L274" i="8"/>
  <c r="H274" i="8"/>
  <c r="R272" i="8"/>
  <c r="J272" i="8"/>
  <c r="P36" i="8"/>
  <c r="L36" i="8"/>
  <c r="R168" i="8"/>
  <c r="R267" i="8" s="1"/>
  <c r="N168" i="8"/>
  <c r="N267" i="8" s="1"/>
  <c r="J168" i="8"/>
  <c r="J267" i="8" s="1"/>
  <c r="H168" i="8"/>
  <c r="H267" i="8" s="1"/>
  <c r="P187" i="8"/>
  <c r="P271" i="8" s="1"/>
  <c r="L187" i="8"/>
  <c r="L271" i="8" s="1"/>
  <c r="H187" i="8"/>
  <c r="H271" i="8" s="1"/>
  <c r="O223" i="8"/>
  <c r="O273" i="8" s="1"/>
  <c r="E248" i="8"/>
  <c r="T267" i="8"/>
  <c r="N174" i="8"/>
  <c r="N268" i="8" s="1"/>
  <c r="J174" i="8"/>
  <c r="J268" i="8" s="1"/>
  <c r="E19" i="8"/>
  <c r="E17" i="8"/>
  <c r="E169" i="8"/>
  <c r="E168" i="8" s="1"/>
  <c r="E267" i="8" s="1"/>
  <c r="E166" i="8"/>
  <c r="D86" i="8"/>
  <c r="D78" i="8"/>
  <c r="E27" i="8"/>
  <c r="R20" i="8"/>
  <c r="R15" i="8" s="1"/>
  <c r="N20" i="8"/>
  <c r="J20" i="8"/>
  <c r="J15" i="8" s="1"/>
  <c r="S32" i="8"/>
  <c r="S31" i="8" s="1"/>
  <c r="O32" i="8"/>
  <c r="E63" i="8"/>
  <c r="E55" i="8"/>
  <c r="E53" i="8"/>
  <c r="P174" i="8"/>
  <c r="P268" i="8" s="1"/>
  <c r="R174" i="8"/>
  <c r="R268" i="8" s="1"/>
  <c r="D191" i="8"/>
  <c r="L262" i="8"/>
  <c r="J78" i="8"/>
  <c r="H78" i="8"/>
  <c r="H262" i="8" s="1"/>
  <c r="D18" i="8"/>
  <c r="D241" i="8"/>
  <c r="D274" i="8" s="1"/>
  <c r="E129" i="8"/>
  <c r="E96" i="8"/>
  <c r="D29" i="8"/>
  <c r="L15" i="8"/>
  <c r="D27" i="8"/>
  <c r="E26" i="8"/>
  <c r="Q36" i="8"/>
  <c r="M36" i="8"/>
  <c r="E62" i="8"/>
  <c r="E58" i="8"/>
  <c r="E54" i="8"/>
  <c r="E50" i="8"/>
  <c r="P78" i="8"/>
  <c r="P262" i="8" s="1"/>
  <c r="H89" i="8"/>
  <c r="R223" i="8"/>
  <c r="R273" i="8" s="1"/>
  <c r="N223" i="8"/>
  <c r="N273" i="8" s="1"/>
  <c r="J223" i="8"/>
  <c r="J273" i="8" s="1"/>
  <c r="Q223" i="8"/>
  <c r="Q273" i="8" s="1"/>
  <c r="M223" i="8"/>
  <c r="M273" i="8" s="1"/>
  <c r="I223" i="8"/>
  <c r="I273" i="8" s="1"/>
  <c r="Q241" i="8"/>
  <c r="Q274" i="8" s="1"/>
  <c r="M241" i="8"/>
  <c r="M274" i="8" s="1"/>
  <c r="I241" i="8"/>
  <c r="I274" i="8" s="1"/>
  <c r="R241" i="8"/>
  <c r="R274" i="8" s="1"/>
  <c r="N241" i="8"/>
  <c r="N274" i="8" s="1"/>
  <c r="J241" i="8"/>
  <c r="J274" i="8" s="1"/>
  <c r="O241" i="8"/>
  <c r="O274" i="8" s="1"/>
  <c r="K241" i="8"/>
  <c r="K274" i="8" s="1"/>
  <c r="Q262" i="8"/>
  <c r="E18" i="8"/>
  <c r="P20" i="8"/>
  <c r="P15" i="8" s="1"/>
  <c r="H20" i="8"/>
  <c r="D45" i="8"/>
  <c r="D43" i="8"/>
  <c r="D41" i="8"/>
  <c r="D39" i="8"/>
  <c r="O36" i="8"/>
  <c r="D37" i="8"/>
  <c r="P49" i="8"/>
  <c r="P48" i="8" s="1"/>
  <c r="N49" i="8"/>
  <c r="N48" i="8" s="1"/>
  <c r="D50" i="8"/>
  <c r="R99" i="8"/>
  <c r="N99" i="8"/>
  <c r="N85" i="8" s="1"/>
  <c r="J99" i="8"/>
  <c r="T135" i="8"/>
  <c r="P135" i="8"/>
  <c r="P85" i="8" s="1"/>
  <c r="L135" i="8"/>
  <c r="L85" i="8" s="1"/>
  <c r="H135" i="8"/>
  <c r="L174" i="8"/>
  <c r="L268" i="8" s="1"/>
  <c r="D205" i="8"/>
  <c r="D203" i="8"/>
  <c r="E202" i="8"/>
  <c r="D201" i="8"/>
  <c r="E192" i="8"/>
  <c r="R262" i="8"/>
  <c r="N262" i="8"/>
  <c r="J262" i="8"/>
  <c r="E156" i="8"/>
  <c r="H174" i="8"/>
  <c r="H268" i="8" s="1"/>
  <c r="D19" i="8"/>
  <c r="D223" i="8"/>
  <c r="E100" i="8"/>
  <c r="E99" i="8" s="1"/>
  <c r="E83" i="8"/>
  <c r="E45" i="8"/>
  <c r="E41" i="8"/>
  <c r="R135" i="8"/>
  <c r="J135" i="8"/>
  <c r="D157" i="8"/>
  <c r="D155" i="8"/>
  <c r="E154" i="8"/>
  <c r="D153" i="8"/>
  <c r="E152" i="8"/>
  <c r="D151" i="8"/>
  <c r="E150" i="8"/>
  <c r="D149" i="8"/>
  <c r="E148" i="8"/>
  <c r="D147" i="8"/>
  <c r="E146" i="8"/>
  <c r="D145" i="8"/>
  <c r="E144" i="8"/>
  <c r="D143" i="8"/>
  <c r="E142" i="8"/>
  <c r="D141" i="8"/>
  <c r="E140" i="8"/>
  <c r="D139" i="8"/>
  <c r="D199" i="8"/>
  <c r="E198" i="8"/>
  <c r="D197" i="8"/>
  <c r="D195" i="8"/>
  <c r="E194" i="8"/>
  <c r="D222" i="8"/>
  <c r="P206" i="8"/>
  <c r="P272" i="8" s="1"/>
  <c r="L206" i="8"/>
  <c r="L272" i="8" s="1"/>
  <c r="H206" i="8"/>
  <c r="H272" i="8" s="1"/>
  <c r="P32" i="5"/>
  <c r="P31" i="5" s="1"/>
  <c r="R36" i="5"/>
  <c r="K36" i="5"/>
  <c r="J20" i="5"/>
  <c r="Q32" i="5"/>
  <c r="N99" i="5"/>
  <c r="L32" i="5"/>
  <c r="J118" i="5"/>
  <c r="G206" i="5"/>
  <c r="G99" i="5"/>
  <c r="G78" i="5"/>
  <c r="G262" i="5" s="1"/>
  <c r="H20" i="5"/>
  <c r="Q36" i="5"/>
  <c r="P118" i="5"/>
  <c r="G86" i="5"/>
  <c r="G32" i="5"/>
  <c r="E171" i="5"/>
  <c r="E161" i="5"/>
  <c r="E157" i="5"/>
  <c r="E138" i="5"/>
  <c r="E122" i="5"/>
  <c r="E112" i="5"/>
  <c r="E101" i="5"/>
  <c r="T89" i="5"/>
  <c r="E96" i="5"/>
  <c r="E80" i="5"/>
  <c r="E19" i="5"/>
  <c r="E255" i="5"/>
  <c r="E253" i="5"/>
  <c r="E251" i="5"/>
  <c r="E247" i="5"/>
  <c r="E243" i="5"/>
  <c r="E221" i="5"/>
  <c r="T32" i="5"/>
  <c r="T31" i="5" s="1"/>
  <c r="T187" i="5"/>
  <c r="E182" i="5"/>
  <c r="E172" i="5"/>
  <c r="E167" i="5"/>
  <c r="E162" i="5"/>
  <c r="E158" i="5"/>
  <c r="E139" i="5"/>
  <c r="E117" i="5"/>
  <c r="E113" i="5"/>
  <c r="E81" i="5"/>
  <c r="E35" i="5"/>
  <c r="D17" i="5"/>
  <c r="E213" i="5"/>
  <c r="E209" i="5"/>
  <c r="E204" i="5"/>
  <c r="E196" i="5"/>
  <c r="E192" i="5"/>
  <c r="E188" i="5"/>
  <c r="E214" i="5"/>
  <c r="E205" i="5"/>
  <c r="E197" i="5"/>
  <c r="E189" i="5"/>
  <c r="E173" i="5"/>
  <c r="E169" i="5"/>
  <c r="T168" i="5"/>
  <c r="E159" i="5"/>
  <c r="E155" i="5"/>
  <c r="T135" i="5"/>
  <c r="E136" i="5"/>
  <c r="T118" i="5"/>
  <c r="E119" i="5"/>
  <c r="E114" i="5"/>
  <c r="E87" i="5"/>
  <c r="T86" i="5"/>
  <c r="J261" i="5"/>
  <c r="J260" i="5" s="1"/>
  <c r="E217" i="5"/>
  <c r="G272" i="5"/>
  <c r="E170" i="5"/>
  <c r="E160" i="5"/>
  <c r="E156" i="5"/>
  <c r="E88" i="5"/>
  <c r="T78" i="5"/>
  <c r="T262" i="5" s="1"/>
  <c r="E79" i="5"/>
  <c r="E18" i="5"/>
  <c r="E227" i="5"/>
  <c r="E223" i="5" s="1"/>
  <c r="E273" i="5" s="1"/>
  <c r="E67" i="5"/>
  <c r="E65" i="5"/>
  <c r="E63" i="5"/>
  <c r="E61" i="5"/>
  <c r="E59" i="5"/>
  <c r="E57" i="5"/>
  <c r="E55" i="5"/>
  <c r="E53" i="5"/>
  <c r="E51" i="5"/>
  <c r="D25" i="5"/>
  <c r="G20" i="5"/>
  <c r="E33" i="5"/>
  <c r="G89" i="5"/>
  <c r="G135" i="5"/>
  <c r="G223" i="5"/>
  <c r="R266" i="5"/>
  <c r="N268" i="5"/>
  <c r="R268" i="5"/>
  <c r="J269" i="5"/>
  <c r="N269" i="5"/>
  <c r="R269" i="5"/>
  <c r="J271" i="5"/>
  <c r="N271" i="5"/>
  <c r="R271" i="5"/>
  <c r="J272" i="5"/>
  <c r="N272" i="5"/>
  <c r="R272" i="5"/>
  <c r="J273" i="5"/>
  <c r="N273" i="5"/>
  <c r="R273" i="5"/>
  <c r="J274" i="5"/>
  <c r="N274" i="5"/>
  <c r="R274" i="5"/>
  <c r="L49" i="5"/>
  <c r="L261" i="5" s="1"/>
  <c r="P49" i="5"/>
  <c r="P261" i="5" s="1"/>
  <c r="P260" i="5" s="1"/>
  <c r="T49" i="5"/>
  <c r="T261" i="5" s="1"/>
  <c r="E95" i="5"/>
  <c r="E89" i="5" s="1"/>
  <c r="T99" i="5"/>
  <c r="P99" i="5"/>
  <c r="P85" i="5" s="1"/>
  <c r="P84" i="5" s="1"/>
  <c r="L99" i="5"/>
  <c r="H99" i="5"/>
  <c r="R135" i="5"/>
  <c r="N135" i="5"/>
  <c r="J135" i="5"/>
  <c r="E24" i="5"/>
  <c r="T20" i="5"/>
  <c r="L20" i="5"/>
  <c r="N20" i="5"/>
  <c r="E22" i="5"/>
  <c r="E30" i="5"/>
  <c r="D29" i="5"/>
  <c r="D27" i="5"/>
  <c r="E26" i="5"/>
  <c r="G118" i="5"/>
  <c r="N118" i="5"/>
  <c r="G168" i="5"/>
  <c r="G241" i="5"/>
  <c r="G274" i="5" s="1"/>
  <c r="Q262" i="5"/>
  <c r="Q266" i="5"/>
  <c r="Q269" i="5"/>
  <c r="Q271" i="5"/>
  <c r="Q273" i="5"/>
  <c r="Q274" i="5"/>
  <c r="O49" i="5"/>
  <c r="O261" i="5" s="1"/>
  <c r="S49" i="5"/>
  <c r="S261" i="5" s="1"/>
  <c r="J48" i="5"/>
  <c r="D73" i="5"/>
  <c r="D71" i="5"/>
  <c r="D69" i="5"/>
  <c r="R89" i="5"/>
  <c r="N89" i="5"/>
  <c r="J89" i="5"/>
  <c r="D111" i="5"/>
  <c r="E110" i="5"/>
  <c r="D109" i="5"/>
  <c r="E108" i="5"/>
  <c r="D107" i="5"/>
  <c r="E106" i="5"/>
  <c r="D105" i="5"/>
  <c r="D154" i="5"/>
  <c r="E153" i="5"/>
  <c r="D152" i="5"/>
  <c r="E151" i="5"/>
  <c r="D150" i="5"/>
  <c r="E149" i="5"/>
  <c r="D148" i="5"/>
  <c r="E147" i="5"/>
  <c r="D146" i="5"/>
  <c r="E145" i="5"/>
  <c r="D144" i="5"/>
  <c r="E143" i="5"/>
  <c r="D142" i="5"/>
  <c r="E141" i="5"/>
  <c r="R168" i="5"/>
  <c r="R267" i="5" s="1"/>
  <c r="N168" i="5"/>
  <c r="N267" i="5" s="1"/>
  <c r="J168" i="5"/>
  <c r="J267" i="5" s="1"/>
  <c r="R20" i="5"/>
  <c r="D34" i="5"/>
  <c r="Q89" i="5"/>
  <c r="R99" i="5"/>
  <c r="J99" i="5"/>
  <c r="Q135" i="5"/>
  <c r="Q168" i="5"/>
  <c r="Q267" i="5" s="1"/>
  <c r="L168" i="5"/>
  <c r="G187" i="5"/>
  <c r="G271" i="5" s="1"/>
  <c r="L262" i="5"/>
  <c r="H267" i="5"/>
  <c r="L267" i="5"/>
  <c r="P267" i="5"/>
  <c r="T267" i="5"/>
  <c r="H268" i="5"/>
  <c r="L268" i="5"/>
  <c r="P268" i="5"/>
  <c r="H271" i="5"/>
  <c r="L271" i="5"/>
  <c r="P271" i="5"/>
  <c r="T271" i="5"/>
  <c r="L272" i="5"/>
  <c r="P272" i="5"/>
  <c r="H274" i="5"/>
  <c r="I49" i="5"/>
  <c r="N49" i="5"/>
  <c r="N261" i="5" s="1"/>
  <c r="N260" i="5" s="1"/>
  <c r="R49" i="5"/>
  <c r="R48" i="5" s="1"/>
  <c r="E75" i="5"/>
  <c r="E73" i="5"/>
  <c r="E71" i="5"/>
  <c r="E69" i="5"/>
  <c r="D67" i="5"/>
  <c r="D63" i="5"/>
  <c r="D61" i="5"/>
  <c r="D59" i="5"/>
  <c r="D57" i="5"/>
  <c r="D53" i="5"/>
  <c r="D51" i="5"/>
  <c r="Q118" i="5"/>
  <c r="D21" i="5"/>
  <c r="E28" i="5"/>
  <c r="R32" i="5"/>
  <c r="R31" i="5" s="1"/>
  <c r="N32" i="5"/>
  <c r="N31" i="5" s="1"/>
  <c r="J32" i="5"/>
  <c r="J31" i="5" s="1"/>
  <c r="R118" i="5"/>
  <c r="G267" i="5"/>
  <c r="G273" i="5"/>
  <c r="H49" i="5"/>
  <c r="M49" i="5"/>
  <c r="Q49" i="5"/>
  <c r="Q261" i="5" s="1"/>
  <c r="Q260" i="5" s="1"/>
  <c r="K32" i="8"/>
  <c r="D33" i="5"/>
  <c r="G36" i="5"/>
  <c r="G31" i="5" s="1"/>
  <c r="E49" i="10"/>
  <c r="E36" i="10"/>
  <c r="F36" i="10" s="1"/>
  <c r="D140" i="5"/>
  <c r="L85" i="5"/>
  <c r="T48" i="5"/>
  <c r="E50" i="5"/>
  <c r="D36" i="5"/>
  <c r="H31" i="5"/>
  <c r="Q31" i="5"/>
  <c r="E37" i="5"/>
  <c r="E36" i="5" s="1"/>
  <c r="L31" i="5"/>
  <c r="E32" i="5"/>
  <c r="D23" i="5"/>
  <c r="Q20" i="5"/>
  <c r="M20" i="5"/>
  <c r="E20" i="5"/>
  <c r="I20" i="5"/>
  <c r="O16" i="5"/>
  <c r="P16" i="5"/>
  <c r="R15" i="5"/>
  <c r="S15" i="5"/>
  <c r="T15" i="5"/>
  <c r="T47" i="4"/>
  <c r="T259" i="4" s="1"/>
  <c r="E187" i="4"/>
  <c r="E271" i="4" s="1"/>
  <c r="H84" i="4"/>
  <c r="E84" i="4" s="1"/>
  <c r="E85" i="4"/>
  <c r="E265" i="4" s="1"/>
  <c r="J47" i="4"/>
  <c r="E49" i="4"/>
  <c r="E261" i="4" s="1"/>
  <c r="E260" i="4" s="1"/>
  <c r="E48" i="4"/>
  <c r="E31" i="4"/>
  <c r="E32" i="4"/>
  <c r="E187" i="1"/>
  <c r="E271" i="1" s="1"/>
  <c r="E49" i="1"/>
  <c r="E261" i="1" s="1"/>
  <c r="H47" i="1"/>
  <c r="H259" i="1" s="1"/>
  <c r="E48" i="1"/>
  <c r="J31" i="1"/>
  <c r="I31" i="1"/>
  <c r="E32" i="1"/>
  <c r="E206" i="9"/>
  <c r="T187" i="9"/>
  <c r="T271" i="9" s="1"/>
  <c r="E193" i="9"/>
  <c r="H47" i="9"/>
  <c r="E48" i="9"/>
  <c r="E49" i="9"/>
  <c r="D78" i="9"/>
  <c r="D262" i="9" s="1"/>
  <c r="E32" i="9"/>
  <c r="E241" i="7"/>
  <c r="E274" i="7" s="1"/>
  <c r="E193" i="7"/>
  <c r="T187" i="7"/>
  <c r="T271" i="7" s="1"/>
  <c r="E195" i="7"/>
  <c r="T200" i="8"/>
  <c r="E200" i="8" s="1"/>
  <c r="J47" i="7"/>
  <c r="J259" i="7" s="1"/>
  <c r="E65" i="8"/>
  <c r="E72" i="8"/>
  <c r="E66" i="8"/>
  <c r="J48" i="8"/>
  <c r="E73" i="8"/>
  <c r="E69" i="8"/>
  <c r="E57" i="8"/>
  <c r="E81" i="8"/>
  <c r="E261" i="7"/>
  <c r="E260" i="7" s="1"/>
  <c r="H49" i="8"/>
  <c r="H48" i="8" s="1"/>
  <c r="E79" i="8"/>
  <c r="E51" i="8"/>
  <c r="P31" i="7"/>
  <c r="P259" i="7" s="1"/>
  <c r="E38" i="8"/>
  <c r="E266" i="8" s="1"/>
  <c r="H31" i="7"/>
  <c r="H32" i="8"/>
  <c r="E30" i="8"/>
  <c r="E223" i="6"/>
  <c r="E273" i="6" s="1"/>
  <c r="E241" i="6"/>
  <c r="E274" i="6" s="1"/>
  <c r="E206" i="6"/>
  <c r="E272" i="6" s="1"/>
  <c r="T193" i="8"/>
  <c r="E200" i="6"/>
  <c r="E187" i="6" s="1"/>
  <c r="E271" i="6" s="1"/>
  <c r="E205" i="8"/>
  <c r="E201" i="8"/>
  <c r="E197" i="8"/>
  <c r="T187" i="6"/>
  <c r="T271" i="6" s="1"/>
  <c r="E70" i="8"/>
  <c r="E68" i="8"/>
  <c r="E64" i="8"/>
  <c r="N48" i="6"/>
  <c r="E61" i="8"/>
  <c r="L261" i="6"/>
  <c r="E60" i="8"/>
  <c r="E56" i="8"/>
  <c r="E52" i="8"/>
  <c r="E33" i="8"/>
  <c r="E268" i="6"/>
  <c r="E174" i="8"/>
  <c r="H261" i="6"/>
  <c r="E37" i="8"/>
  <c r="H36" i="8"/>
  <c r="E36" i="6"/>
  <c r="E32" i="6"/>
  <c r="G32" i="8"/>
  <c r="G31" i="8" s="1"/>
  <c r="M32" i="8"/>
  <c r="M31" i="8" s="1"/>
  <c r="N32" i="8"/>
  <c r="R260" i="6"/>
  <c r="Q32" i="8"/>
  <c r="Q31" i="8" s="1"/>
  <c r="I32" i="8"/>
  <c r="R32" i="8"/>
  <c r="J32" i="8"/>
  <c r="E35" i="8"/>
  <c r="P32" i="8"/>
  <c r="L32" i="8"/>
  <c r="D35" i="8"/>
  <c r="P260" i="6"/>
  <c r="D33" i="8"/>
  <c r="D32" i="6"/>
  <c r="E46" i="8"/>
  <c r="E42" i="8"/>
  <c r="E40" i="8"/>
  <c r="T36" i="8"/>
  <c r="Q31" i="7"/>
  <c r="E24" i="8"/>
  <c r="T20" i="8"/>
  <c r="T15" i="8" s="1"/>
  <c r="E25" i="8"/>
  <c r="T32" i="8"/>
  <c r="N47" i="9"/>
  <c r="O16" i="9"/>
  <c r="P16" i="9"/>
  <c r="R85" i="10"/>
  <c r="N85" i="10"/>
  <c r="J85" i="10"/>
  <c r="L47" i="10"/>
  <c r="L259" i="10" s="1"/>
  <c r="P47" i="10"/>
  <c r="P259" i="10" s="1"/>
  <c r="Q47" i="10"/>
  <c r="Q259" i="10" s="1"/>
  <c r="R48" i="10"/>
  <c r="N48" i="10"/>
  <c r="J48" i="10"/>
  <c r="E31" i="10"/>
  <c r="H31" i="10"/>
  <c r="E15" i="10"/>
  <c r="E241" i="8"/>
  <c r="E223" i="8"/>
  <c r="E206" i="8"/>
  <c r="T206" i="8"/>
  <c r="T272" i="8" s="1"/>
  <c r="E203" i="8"/>
  <c r="E199" i="8"/>
  <c r="E195" i="8"/>
  <c r="T85" i="6"/>
  <c r="R47" i="6"/>
  <c r="J47" i="6"/>
  <c r="E44" i="8"/>
  <c r="E28" i="8"/>
  <c r="R15" i="6"/>
  <c r="P15" i="6"/>
  <c r="Q16" i="6"/>
  <c r="N16" i="6" s="1"/>
  <c r="S15" i="6"/>
  <c r="E89" i="8"/>
  <c r="D36" i="8"/>
  <c r="O31" i="8"/>
  <c r="N15" i="8"/>
  <c r="T118" i="8"/>
  <c r="E118" i="8" s="1"/>
  <c r="T223" i="8"/>
  <c r="T273" i="8" s="1"/>
  <c r="T241" i="8"/>
  <c r="T274" i="8" s="1"/>
  <c r="T180" i="8"/>
  <c r="E180" i="8" s="1"/>
  <c r="T129" i="5"/>
  <c r="E129" i="5" s="1"/>
  <c r="T47" i="1"/>
  <c r="T259" i="1" s="1"/>
  <c r="T180" i="5"/>
  <c r="E180" i="5" s="1"/>
  <c r="E269" i="5" s="1"/>
  <c r="T174" i="5"/>
  <c r="E174" i="5" s="1"/>
  <c r="T206" i="5"/>
  <c r="T272" i="5" s="1"/>
  <c r="T241" i="5"/>
  <c r="T274" i="5" s="1"/>
  <c r="T223" i="5"/>
  <c r="T273" i="5" s="1"/>
  <c r="T165" i="5"/>
  <c r="E165" i="5" s="1"/>
  <c r="F78" i="9" l="1"/>
  <c r="E48" i="6"/>
  <c r="F86" i="9"/>
  <c r="T48" i="6"/>
  <c r="T260" i="6" s="1"/>
  <c r="T261" i="6"/>
  <c r="T84" i="7"/>
  <c r="T264" i="7" s="1"/>
  <c r="T265" i="7"/>
  <c r="T47" i="10"/>
  <c r="T259" i="10" s="1"/>
  <c r="R259" i="9"/>
  <c r="T260" i="8"/>
  <c r="E31" i="1"/>
  <c r="J259" i="1"/>
  <c r="T48" i="8"/>
  <c r="E269" i="9"/>
  <c r="L84" i="9"/>
  <c r="L264" i="9" s="1"/>
  <c r="H85" i="5"/>
  <c r="H84" i="5" s="1"/>
  <c r="E260" i="1"/>
  <c r="E271" i="10"/>
  <c r="N84" i="10"/>
  <c r="N264" i="10" s="1"/>
  <c r="N265" i="10"/>
  <c r="H264" i="10"/>
  <c r="J84" i="10"/>
  <c r="J264" i="10" s="1"/>
  <c r="J265" i="10"/>
  <c r="E85" i="10"/>
  <c r="E265" i="10" s="1"/>
  <c r="R84" i="10"/>
  <c r="R264" i="10" s="1"/>
  <c r="R265" i="10"/>
  <c r="F123" i="9"/>
  <c r="L48" i="8"/>
  <c r="R85" i="5"/>
  <c r="R84" i="5" s="1"/>
  <c r="N85" i="5"/>
  <c r="N84" i="5" s="1"/>
  <c r="E118" i="5"/>
  <c r="E135" i="5"/>
  <c r="E272" i="9"/>
  <c r="E187" i="9"/>
  <c r="E85" i="9"/>
  <c r="E265" i="9" s="1"/>
  <c r="E262" i="9"/>
  <c r="E261" i="9"/>
  <c r="E85" i="1"/>
  <c r="E265" i="1" s="1"/>
  <c r="T47" i="7"/>
  <c r="T259" i="7" s="1"/>
  <c r="D262" i="8"/>
  <c r="G261" i="8"/>
  <c r="E47" i="6"/>
  <c r="E274" i="9"/>
  <c r="F241" i="9"/>
  <c r="H47" i="10"/>
  <c r="H259" i="10" s="1"/>
  <c r="E48" i="10"/>
  <c r="E261" i="10"/>
  <c r="E260" i="10" s="1"/>
  <c r="E31" i="9"/>
  <c r="F31" i="9" s="1"/>
  <c r="F32" i="9"/>
  <c r="T47" i="9"/>
  <c r="T259" i="9" s="1"/>
  <c r="H264" i="7"/>
  <c r="H265" i="7"/>
  <c r="T31" i="8"/>
  <c r="P84" i="6"/>
  <c r="P265" i="6"/>
  <c r="L84" i="6"/>
  <c r="L265" i="6"/>
  <c r="R259" i="6"/>
  <c r="T84" i="6"/>
  <c r="T265" i="6"/>
  <c r="T187" i="8"/>
  <c r="T271" i="8" s="1"/>
  <c r="E264" i="4"/>
  <c r="H264" i="4"/>
  <c r="E168" i="5"/>
  <c r="E267" i="5" s="1"/>
  <c r="L84" i="5"/>
  <c r="J85" i="5"/>
  <c r="J84" i="5" s="1"/>
  <c r="J47" i="5" s="1"/>
  <c r="E99" i="5"/>
  <c r="E78" i="5"/>
  <c r="Q85" i="5"/>
  <c r="Q84" i="5" s="1"/>
  <c r="Q264" i="5" s="1"/>
  <c r="E31" i="7"/>
  <c r="E36" i="8"/>
  <c r="E272" i="8"/>
  <c r="E268" i="8"/>
  <c r="E273" i="8"/>
  <c r="R85" i="8"/>
  <c r="R84" i="8" s="1"/>
  <c r="E193" i="8"/>
  <c r="E187" i="8" s="1"/>
  <c r="E271" i="8" s="1"/>
  <c r="E274" i="8"/>
  <c r="E135" i="8"/>
  <c r="E85" i="8" s="1"/>
  <c r="N260" i="6"/>
  <c r="J85" i="8"/>
  <c r="J84" i="8" s="1"/>
  <c r="E78" i="8"/>
  <c r="E262" i="8" s="1"/>
  <c r="H85" i="8"/>
  <c r="H84" i="8" s="1"/>
  <c r="L265" i="8"/>
  <c r="L84" i="8"/>
  <c r="L47" i="8" s="1"/>
  <c r="N84" i="8"/>
  <c r="N265" i="8"/>
  <c r="P265" i="8"/>
  <c r="P84" i="8"/>
  <c r="P264" i="8" s="1"/>
  <c r="P31" i="8"/>
  <c r="P260" i="8"/>
  <c r="E20" i="8"/>
  <c r="E269" i="8"/>
  <c r="L31" i="8"/>
  <c r="L260" i="8"/>
  <c r="R31" i="8"/>
  <c r="R260" i="8"/>
  <c r="E263" i="8"/>
  <c r="N261" i="8"/>
  <c r="T269" i="8"/>
  <c r="J31" i="8"/>
  <c r="J260" i="8"/>
  <c r="D273" i="8"/>
  <c r="P261" i="8"/>
  <c r="N31" i="8"/>
  <c r="N260" i="8"/>
  <c r="T85" i="8"/>
  <c r="H261" i="8"/>
  <c r="R47" i="5"/>
  <c r="R259" i="5" s="1"/>
  <c r="E241" i="5"/>
  <c r="E274" i="5" s="1"/>
  <c r="L260" i="5"/>
  <c r="T260" i="5"/>
  <c r="E206" i="5"/>
  <c r="E272" i="5" s="1"/>
  <c r="Q15" i="5"/>
  <c r="Q48" i="5"/>
  <c r="Q47" i="5" s="1"/>
  <c r="N48" i="5"/>
  <c r="N47" i="5" s="1"/>
  <c r="L264" i="5"/>
  <c r="L265" i="5"/>
  <c r="H264" i="5"/>
  <c r="M261" i="5"/>
  <c r="T85" i="5"/>
  <c r="T268" i="5"/>
  <c r="R264" i="5"/>
  <c r="N264" i="5"/>
  <c r="L48" i="5"/>
  <c r="L47" i="5" s="1"/>
  <c r="H265" i="5"/>
  <c r="R261" i="5"/>
  <c r="R260" i="5" s="1"/>
  <c r="E187" i="5"/>
  <c r="E271" i="5" s="1"/>
  <c r="E266" i="5"/>
  <c r="E268" i="5"/>
  <c r="N265" i="5"/>
  <c r="T266" i="5"/>
  <c r="I261" i="5"/>
  <c r="E262" i="5"/>
  <c r="D20" i="5"/>
  <c r="E49" i="5"/>
  <c r="E261" i="5" s="1"/>
  <c r="R265" i="5"/>
  <c r="H48" i="5"/>
  <c r="P48" i="5"/>
  <c r="P47" i="5" s="1"/>
  <c r="P265" i="5"/>
  <c r="E86" i="5"/>
  <c r="T269" i="5"/>
  <c r="P264" i="5"/>
  <c r="H261" i="5"/>
  <c r="H260" i="5" s="1"/>
  <c r="K31" i="8"/>
  <c r="N47" i="6"/>
  <c r="E31" i="5"/>
  <c r="M16" i="5"/>
  <c r="O15" i="5"/>
  <c r="N16" i="5"/>
  <c r="P15" i="5"/>
  <c r="H47" i="4"/>
  <c r="E47" i="4" s="1"/>
  <c r="E47" i="1"/>
  <c r="E259" i="1" s="1"/>
  <c r="E84" i="9"/>
  <c r="L264" i="8"/>
  <c r="P47" i="8"/>
  <c r="E187" i="7"/>
  <c r="E271" i="7" s="1"/>
  <c r="H47" i="7"/>
  <c r="E49" i="8"/>
  <c r="E48" i="8" s="1"/>
  <c r="E32" i="8"/>
  <c r="E261" i="6"/>
  <c r="E31" i="6"/>
  <c r="E265" i="6"/>
  <c r="H84" i="6"/>
  <c r="H265" i="6"/>
  <c r="H31" i="8"/>
  <c r="D32" i="8"/>
  <c r="D31" i="6"/>
  <c r="P15" i="9"/>
  <c r="P259" i="9" s="1"/>
  <c r="N16" i="9"/>
  <c r="M16" i="9"/>
  <c r="N47" i="10"/>
  <c r="N259" i="10" s="1"/>
  <c r="J47" i="10"/>
  <c r="J259" i="10" s="1"/>
  <c r="L16" i="6"/>
  <c r="L260" i="6" s="1"/>
  <c r="N15" i="6"/>
  <c r="Q15" i="6"/>
  <c r="O16" i="6"/>
  <c r="L259" i="8" l="1"/>
  <c r="L47" i="9"/>
  <c r="J264" i="5"/>
  <c r="Q265" i="5"/>
  <c r="J265" i="5"/>
  <c r="H47" i="5"/>
  <c r="E264" i="6"/>
  <c r="J264" i="6"/>
  <c r="E265" i="7"/>
  <c r="E84" i="7"/>
  <c r="E264" i="7" s="1"/>
  <c r="E84" i="10"/>
  <c r="E47" i="10" s="1"/>
  <c r="R47" i="10"/>
  <c r="R259" i="10" s="1"/>
  <c r="E85" i="5"/>
  <c r="E84" i="5" s="1"/>
  <c r="E264" i="5" s="1"/>
  <c r="P259" i="8"/>
  <c r="E271" i="9"/>
  <c r="E260" i="9"/>
  <c r="E264" i="9"/>
  <c r="T47" i="6"/>
  <c r="T259" i="6" s="1"/>
  <c r="T264" i="6"/>
  <c r="P47" i="6"/>
  <c r="P259" i="6" s="1"/>
  <c r="P264" i="6"/>
  <c r="L264" i="6"/>
  <c r="L47" i="6"/>
  <c r="R265" i="8"/>
  <c r="E31" i="8"/>
  <c r="H265" i="8"/>
  <c r="H47" i="8"/>
  <c r="H264" i="8"/>
  <c r="R47" i="8"/>
  <c r="R259" i="8" s="1"/>
  <c r="R264" i="8"/>
  <c r="Q259" i="5"/>
  <c r="E260" i="5"/>
  <c r="J265" i="8"/>
  <c r="J47" i="8"/>
  <c r="J259" i="8" s="1"/>
  <c r="J264" i="8"/>
  <c r="E84" i="8"/>
  <c r="E47" i="8" s="1"/>
  <c r="E265" i="8"/>
  <c r="N259" i="6"/>
  <c r="T265" i="8"/>
  <c r="T84" i="8"/>
  <c r="N264" i="8"/>
  <c r="N47" i="8"/>
  <c r="N259" i="8" s="1"/>
  <c r="E261" i="8"/>
  <c r="P259" i="5"/>
  <c r="T84" i="5"/>
  <c r="T265" i="5"/>
  <c r="E48" i="5"/>
  <c r="D31" i="8"/>
  <c r="M15" i="5"/>
  <c r="K16" i="5"/>
  <c r="L16" i="5"/>
  <c r="N15" i="5"/>
  <c r="N259" i="5" s="1"/>
  <c r="H259" i="7"/>
  <c r="H264" i="6"/>
  <c r="H47" i="6"/>
  <c r="N15" i="9"/>
  <c r="N259" i="9" s="1"/>
  <c r="L16" i="9"/>
  <c r="K16" i="9"/>
  <c r="L15" i="6"/>
  <c r="L259" i="6" s="1"/>
  <c r="M16" i="6"/>
  <c r="O15" i="6"/>
  <c r="S254" i="10"/>
  <c r="D254" i="10" s="1"/>
  <c r="F254" i="10" s="1"/>
  <c r="E265" i="5" l="1"/>
  <c r="E47" i="9"/>
  <c r="E47" i="5"/>
  <c r="E47" i="7"/>
  <c r="E259" i="7" s="1"/>
  <c r="E264" i="10"/>
  <c r="E259" i="10"/>
  <c r="E264" i="8"/>
  <c r="J16" i="6"/>
  <c r="J260" i="6" s="1"/>
  <c r="T264" i="8"/>
  <c r="T47" i="8"/>
  <c r="T259" i="8" s="1"/>
  <c r="T264" i="5"/>
  <c r="T47" i="5"/>
  <c r="T259" i="5" s="1"/>
  <c r="I16" i="5"/>
  <c r="K15" i="5"/>
  <c r="J16" i="5"/>
  <c r="L15" i="5"/>
  <c r="L259" i="5" s="1"/>
  <c r="L15" i="9"/>
  <c r="L259" i="9" s="1"/>
  <c r="J16" i="9"/>
  <c r="I16" i="9"/>
  <c r="M15" i="6"/>
  <c r="K16" i="6"/>
  <c r="I204" i="5"/>
  <c r="K204" i="5"/>
  <c r="M204" i="5"/>
  <c r="O204" i="5"/>
  <c r="S204" i="5"/>
  <c r="I205" i="5"/>
  <c r="K205" i="5"/>
  <c r="M205" i="5"/>
  <c r="O205" i="5"/>
  <c r="S205" i="5"/>
  <c r="S187" i="1"/>
  <c r="S271" i="1" s="1"/>
  <c r="S193" i="7"/>
  <c r="D193" i="7" s="1"/>
  <c r="I122" i="8"/>
  <c r="K122" i="8"/>
  <c r="M122" i="8"/>
  <c r="O122" i="8"/>
  <c r="Q122" i="8"/>
  <c r="S122" i="8"/>
  <c r="I123" i="8"/>
  <c r="Q82" i="6"/>
  <c r="S82" i="6"/>
  <c r="Q123" i="6"/>
  <c r="S218" i="6"/>
  <c r="S193" i="6"/>
  <c r="I75" i="8"/>
  <c r="K75" i="8"/>
  <c r="M75" i="8"/>
  <c r="O75" i="8"/>
  <c r="Q75" i="8"/>
  <c r="S75" i="8"/>
  <c r="I76" i="8"/>
  <c r="K76" i="8"/>
  <c r="M76" i="8"/>
  <c r="O76" i="8"/>
  <c r="Q76" i="8"/>
  <c r="S76" i="8"/>
  <c r="I77" i="8"/>
  <c r="K77" i="8"/>
  <c r="M77" i="8"/>
  <c r="O77" i="8"/>
  <c r="Q77" i="8"/>
  <c r="S77" i="8"/>
  <c r="O68" i="7"/>
  <c r="O61" i="7"/>
  <c r="K68" i="7"/>
  <c r="I61" i="7"/>
  <c r="K61" i="7"/>
  <c r="I68" i="7"/>
  <c r="I65" i="7"/>
  <c r="D65" i="7" s="1"/>
  <c r="M68" i="6"/>
  <c r="M68" i="8" s="1"/>
  <c r="O68" i="6"/>
  <c r="I61" i="6"/>
  <c r="I61" i="8" s="1"/>
  <c r="K61" i="6"/>
  <c r="M61" i="6"/>
  <c r="O61" i="6"/>
  <c r="Q61" i="6"/>
  <c r="S61" i="6"/>
  <c r="K68" i="6"/>
  <c r="K65" i="6"/>
  <c r="K65" i="8" s="1"/>
  <c r="I68" i="6"/>
  <c r="I77" i="5"/>
  <c r="K77" i="5"/>
  <c r="M77" i="5"/>
  <c r="O77" i="5"/>
  <c r="S77" i="5"/>
  <c r="K68" i="4"/>
  <c r="K65" i="4"/>
  <c r="D65" i="4" s="1"/>
  <c r="K65" i="1"/>
  <c r="K68" i="1"/>
  <c r="D68" i="1" s="1"/>
  <c r="S254" i="4"/>
  <c r="D254" i="4" s="1"/>
  <c r="S253" i="4"/>
  <c r="D253" i="4" s="1"/>
  <c r="S193" i="4"/>
  <c r="D193" i="4" s="1"/>
  <c r="S193" i="1"/>
  <c r="D193" i="1" s="1"/>
  <c r="Q48" i="1"/>
  <c r="Q20" i="1"/>
  <c r="Q264" i="1" s="1"/>
  <c r="S20" i="1"/>
  <c r="S264" i="1" s="1"/>
  <c r="Q16" i="1"/>
  <c r="S16" i="1"/>
  <c r="S15" i="1" s="1"/>
  <c r="Q36" i="6"/>
  <c r="Q31" i="6" s="1"/>
  <c r="S36" i="6"/>
  <c r="S31" i="6" s="1"/>
  <c r="D65" i="1" l="1"/>
  <c r="K65" i="5"/>
  <c r="D65" i="5" s="1"/>
  <c r="K49" i="1"/>
  <c r="S187" i="6"/>
  <c r="S271" i="6" s="1"/>
  <c r="D193" i="6"/>
  <c r="D187" i="6" s="1"/>
  <c r="D271" i="6" s="1"/>
  <c r="S193" i="8"/>
  <c r="S49" i="6"/>
  <c r="S61" i="8"/>
  <c r="S49" i="8" s="1"/>
  <c r="S261" i="8" s="1"/>
  <c r="K49" i="6"/>
  <c r="K61" i="8"/>
  <c r="S187" i="4"/>
  <c r="S271" i="4" s="1"/>
  <c r="O68" i="8"/>
  <c r="S206" i="6"/>
  <c r="S272" i="6" s="1"/>
  <c r="D218" i="6"/>
  <c r="D206" i="6" s="1"/>
  <c r="D272" i="6" s="1"/>
  <c r="S218" i="8"/>
  <c r="D218" i="8" s="1"/>
  <c r="S187" i="7"/>
  <c r="S271" i="7" s="1"/>
  <c r="Q49" i="6"/>
  <c r="Q61" i="8"/>
  <c r="Q49" i="8" s="1"/>
  <c r="Q261" i="8" s="1"/>
  <c r="M49" i="6"/>
  <c r="M61" i="8"/>
  <c r="M49" i="8" s="1"/>
  <c r="M261" i="8" s="1"/>
  <c r="Q123" i="8"/>
  <c r="Q85" i="6"/>
  <c r="O49" i="7"/>
  <c r="D61" i="7"/>
  <c r="O49" i="6"/>
  <c r="D61" i="6"/>
  <c r="O61" i="8"/>
  <c r="D68" i="6"/>
  <c r="I68" i="8"/>
  <c r="I65" i="8"/>
  <c r="I49" i="6"/>
  <c r="D65" i="6"/>
  <c r="H16" i="6"/>
  <c r="H260" i="6" s="1"/>
  <c r="J15" i="6"/>
  <c r="J259" i="6" s="1"/>
  <c r="D122" i="8"/>
  <c r="D76" i="8"/>
  <c r="D75" i="8"/>
  <c r="D77" i="8"/>
  <c r="D204" i="5"/>
  <c r="D205" i="5"/>
  <c r="D77" i="5"/>
  <c r="K68" i="8"/>
  <c r="D68" i="7"/>
  <c r="K49" i="7"/>
  <c r="K68" i="5"/>
  <c r="D68" i="4"/>
  <c r="K49" i="4"/>
  <c r="I15" i="5"/>
  <c r="G16" i="5"/>
  <c r="G15" i="5" s="1"/>
  <c r="H16" i="5"/>
  <c r="J15" i="5"/>
  <c r="J259" i="5" s="1"/>
  <c r="J15" i="9"/>
  <c r="J259" i="9" s="1"/>
  <c r="H16" i="9"/>
  <c r="G16" i="9"/>
  <c r="E16" i="6"/>
  <c r="E260" i="6" s="1"/>
  <c r="I16" i="6"/>
  <c r="K15" i="6"/>
  <c r="G75" i="4"/>
  <c r="D75" i="4" s="1"/>
  <c r="G75" i="1"/>
  <c r="Q48" i="6" l="1"/>
  <c r="Q261" i="6"/>
  <c r="H16" i="8"/>
  <c r="H15" i="8" s="1"/>
  <c r="H259" i="8" s="1"/>
  <c r="Q84" i="6"/>
  <c r="Q264" i="6" s="1"/>
  <c r="Q265" i="6"/>
  <c r="S261" i="6"/>
  <c r="S48" i="6"/>
  <c r="S260" i="6" s="1"/>
  <c r="K261" i="1"/>
  <c r="H15" i="6"/>
  <c r="H259" i="6" s="1"/>
  <c r="D49" i="7"/>
  <c r="K261" i="6"/>
  <c r="S187" i="8"/>
  <c r="S271" i="8" s="1"/>
  <c r="D193" i="8"/>
  <c r="D187" i="8" s="1"/>
  <c r="D271" i="8" s="1"/>
  <c r="G75" i="5"/>
  <c r="D75" i="5" s="1"/>
  <c r="D75" i="1"/>
  <c r="M261" i="6"/>
  <c r="O261" i="7"/>
  <c r="O261" i="6"/>
  <c r="D61" i="8"/>
  <c r="O49" i="8"/>
  <c r="O261" i="8" s="1"/>
  <c r="D49" i="6"/>
  <c r="D65" i="8"/>
  <c r="I261" i="6"/>
  <c r="H260" i="8"/>
  <c r="K261" i="7"/>
  <c r="D68" i="8"/>
  <c r="K49" i="8"/>
  <c r="D68" i="5"/>
  <c r="K49" i="5"/>
  <c r="K261" i="4"/>
  <c r="E16" i="5"/>
  <c r="E15" i="5" s="1"/>
  <c r="E259" i="5" s="1"/>
  <c r="H15" i="5"/>
  <c r="H259" i="5" s="1"/>
  <c r="H15" i="9"/>
  <c r="H259" i="9" s="1"/>
  <c r="E16" i="9"/>
  <c r="E15" i="9" s="1"/>
  <c r="E259" i="9" s="1"/>
  <c r="E16" i="8"/>
  <c r="E15" i="6"/>
  <c r="E259" i="6" s="1"/>
  <c r="I15" i="6"/>
  <c r="G16" i="6"/>
  <c r="S212" i="9"/>
  <c r="D212" i="9" s="1"/>
  <c r="S193" i="9"/>
  <c r="G68" i="10"/>
  <c r="D68" i="10" s="1"/>
  <c r="F68" i="10" s="1"/>
  <c r="D193" i="9" l="1"/>
  <c r="S187" i="9"/>
  <c r="S271" i="9" s="1"/>
  <c r="F212" i="9"/>
  <c r="D206" i="9"/>
  <c r="Q47" i="6"/>
  <c r="Q259" i="6" s="1"/>
  <c r="Q260" i="6"/>
  <c r="D261" i="6"/>
  <c r="D49" i="8"/>
  <c r="E15" i="8"/>
  <c r="E259" i="8" s="1"/>
  <c r="E260" i="8"/>
  <c r="K261" i="8"/>
  <c r="D261" i="8"/>
  <c r="K261" i="5"/>
  <c r="G15" i="6"/>
  <c r="G90" i="9"/>
  <c r="S241" i="10"/>
  <c r="G274" i="10"/>
  <c r="S223" i="10"/>
  <c r="S273" i="10" s="1"/>
  <c r="O223" i="10"/>
  <c r="O273" i="10" s="1"/>
  <c r="M223" i="10"/>
  <c r="M273" i="10" s="1"/>
  <c r="K223" i="10"/>
  <c r="K273" i="10" s="1"/>
  <c r="I223" i="10"/>
  <c r="I273" i="10" s="1"/>
  <c r="G223" i="10"/>
  <c r="S206" i="10"/>
  <c r="S272" i="10" s="1"/>
  <c r="O206" i="10"/>
  <c r="O272" i="10" s="1"/>
  <c r="M206" i="10"/>
  <c r="M272" i="10" s="1"/>
  <c r="K206" i="10"/>
  <c r="K272" i="10" s="1"/>
  <c r="I206" i="10"/>
  <c r="I272" i="10" s="1"/>
  <c r="G206" i="10"/>
  <c r="G180" i="10"/>
  <c r="G174" i="10"/>
  <c r="G268" i="10" s="1"/>
  <c r="S168" i="10"/>
  <c r="S267" i="10" s="1"/>
  <c r="O168" i="10"/>
  <c r="O267" i="10" s="1"/>
  <c r="M168" i="10"/>
  <c r="M267" i="10" s="1"/>
  <c r="K168" i="10"/>
  <c r="K267" i="10" s="1"/>
  <c r="I168" i="10"/>
  <c r="I267" i="10" s="1"/>
  <c r="G168" i="10"/>
  <c r="S165" i="10"/>
  <c r="S266" i="10" s="1"/>
  <c r="O165" i="10"/>
  <c r="O266" i="10" s="1"/>
  <c r="M165" i="10"/>
  <c r="M266" i="10" s="1"/>
  <c r="K165" i="10"/>
  <c r="K266" i="10" s="1"/>
  <c r="I165" i="10"/>
  <c r="I266" i="10" s="1"/>
  <c r="G165" i="10"/>
  <c r="G135" i="10"/>
  <c r="S118" i="10"/>
  <c r="S85" i="10" s="1"/>
  <c r="O118" i="10"/>
  <c r="O85" i="10" s="1"/>
  <c r="M118" i="10"/>
  <c r="M85" i="10" s="1"/>
  <c r="K118" i="10"/>
  <c r="K85" i="10" s="1"/>
  <c r="I118" i="10"/>
  <c r="I85" i="10" s="1"/>
  <c r="G118" i="10"/>
  <c r="G99" i="10"/>
  <c r="G89" i="10"/>
  <c r="D89" i="10" s="1"/>
  <c r="F89" i="10" s="1"/>
  <c r="G86" i="10"/>
  <c r="D86" i="10" s="1"/>
  <c r="G263" i="10"/>
  <c r="G78" i="10"/>
  <c r="G55" i="10"/>
  <c r="D55" i="10" s="1"/>
  <c r="G267" i="10"/>
  <c r="D35" i="10"/>
  <c r="G32" i="10"/>
  <c r="D25" i="10"/>
  <c r="D24" i="10"/>
  <c r="D268" i="10" s="1"/>
  <c r="D23" i="10"/>
  <c r="D22" i="10"/>
  <c r="D21" i="10"/>
  <c r="G20" i="10"/>
  <c r="G15" i="10" s="1"/>
  <c r="D20" i="10"/>
  <c r="D19" i="10"/>
  <c r="S241" i="9"/>
  <c r="S274" i="9" s="1"/>
  <c r="G274" i="9"/>
  <c r="G223" i="9"/>
  <c r="G273" i="9" s="1"/>
  <c r="S206" i="9"/>
  <c r="S272" i="9" s="1"/>
  <c r="S180" i="9"/>
  <c r="S269" i="9" s="1"/>
  <c r="G269" i="9"/>
  <c r="S174" i="9"/>
  <c r="S268" i="9" s="1"/>
  <c r="O174" i="9"/>
  <c r="O268" i="9" s="1"/>
  <c r="M174" i="9"/>
  <c r="M268" i="9" s="1"/>
  <c r="K174" i="9"/>
  <c r="K268" i="9" s="1"/>
  <c r="I174" i="9"/>
  <c r="I268" i="9" s="1"/>
  <c r="G174" i="9"/>
  <c r="S168" i="9"/>
  <c r="S165" i="9"/>
  <c r="G266" i="9"/>
  <c r="S135" i="9"/>
  <c r="D135" i="9" s="1"/>
  <c r="F135" i="9" s="1"/>
  <c r="S129" i="9"/>
  <c r="S118" i="9"/>
  <c r="O118" i="9"/>
  <c r="M118" i="9"/>
  <c r="M85" i="9" s="1"/>
  <c r="M265" i="9" s="1"/>
  <c r="K118" i="9"/>
  <c r="K85" i="9" s="1"/>
  <c r="K265" i="9" s="1"/>
  <c r="I118" i="9"/>
  <c r="I85" i="9" s="1"/>
  <c r="I265" i="9" s="1"/>
  <c r="G118" i="9"/>
  <c r="K84" i="9"/>
  <c r="G86" i="9"/>
  <c r="O82" i="9"/>
  <c r="O263" i="9" s="1"/>
  <c r="G263" i="9"/>
  <c r="O78" i="9"/>
  <c r="G262" i="9"/>
  <c r="M49" i="9"/>
  <c r="G267" i="9"/>
  <c r="O36" i="9"/>
  <c r="O32" i="9"/>
  <c r="Q20" i="9"/>
  <c r="O20" i="9"/>
  <c r="O15" i="9" s="1"/>
  <c r="M20" i="9"/>
  <c r="M15" i="9" s="1"/>
  <c r="K20" i="9"/>
  <c r="K15" i="9" s="1"/>
  <c r="I20" i="9"/>
  <c r="I15" i="9" s="1"/>
  <c r="D16" i="9"/>
  <c r="I207" i="8"/>
  <c r="K207" i="8"/>
  <c r="M207" i="8"/>
  <c r="O207" i="8"/>
  <c r="Q207" i="8"/>
  <c r="S207" i="8"/>
  <c r="I208" i="8"/>
  <c r="K208" i="8"/>
  <c r="M208" i="8"/>
  <c r="O208" i="8"/>
  <c r="Q208" i="8"/>
  <c r="S208" i="8"/>
  <c r="I181" i="8"/>
  <c r="K181" i="8"/>
  <c r="M181" i="8"/>
  <c r="O181" i="8"/>
  <c r="Q181" i="8"/>
  <c r="S181" i="8"/>
  <c r="I182" i="8"/>
  <c r="K182" i="8"/>
  <c r="M182" i="8"/>
  <c r="O182" i="8"/>
  <c r="Q182" i="8"/>
  <c r="S182" i="8"/>
  <c r="I183" i="8"/>
  <c r="K183" i="8"/>
  <c r="M183" i="8"/>
  <c r="O183" i="8"/>
  <c r="Q183" i="8"/>
  <c r="S183" i="8"/>
  <c r="I184" i="8"/>
  <c r="K184" i="8"/>
  <c r="M184" i="8"/>
  <c r="O184" i="8"/>
  <c r="Q184" i="8"/>
  <c r="S184" i="8"/>
  <c r="I185" i="8"/>
  <c r="K185" i="8"/>
  <c r="M185" i="8"/>
  <c r="O185" i="8"/>
  <c r="Q185" i="8"/>
  <c r="S185" i="8"/>
  <c r="I179" i="8"/>
  <c r="K179" i="8"/>
  <c r="K174" i="8" s="1"/>
  <c r="M179" i="8"/>
  <c r="M174" i="8" s="1"/>
  <c r="O179" i="8"/>
  <c r="O174" i="8" s="1"/>
  <c r="Q179" i="8"/>
  <c r="S179" i="8"/>
  <c r="S174" i="8" s="1"/>
  <c r="I169" i="8"/>
  <c r="K169" i="8"/>
  <c r="M169" i="8"/>
  <c r="O169" i="8"/>
  <c r="Q169" i="8"/>
  <c r="S169" i="8"/>
  <c r="I173" i="8"/>
  <c r="K173" i="8"/>
  <c r="M173" i="8"/>
  <c r="O173" i="8"/>
  <c r="Q173" i="8"/>
  <c r="S173" i="8"/>
  <c r="I166" i="8"/>
  <c r="K166" i="8"/>
  <c r="K165" i="8" s="1"/>
  <c r="K266" i="8" s="1"/>
  <c r="M166" i="8"/>
  <c r="O166" i="8"/>
  <c r="O165" i="8" s="1"/>
  <c r="O266" i="8" s="1"/>
  <c r="Q166" i="8"/>
  <c r="S166" i="8"/>
  <c r="S165" i="8" s="1"/>
  <c r="S266" i="8" s="1"/>
  <c r="I167" i="8"/>
  <c r="K167" i="8"/>
  <c r="M167" i="8"/>
  <c r="O167" i="8"/>
  <c r="Q167" i="8"/>
  <c r="S167" i="8"/>
  <c r="Q165" i="8"/>
  <c r="Q266" i="8" s="1"/>
  <c r="I136" i="8"/>
  <c r="K136" i="8"/>
  <c r="M136" i="8"/>
  <c r="O136" i="8"/>
  <c r="Q136" i="8"/>
  <c r="S136" i="8"/>
  <c r="I137" i="8"/>
  <c r="K137" i="8"/>
  <c r="M137" i="8"/>
  <c r="O137" i="8"/>
  <c r="Q137" i="8"/>
  <c r="S137" i="8"/>
  <c r="I138" i="8"/>
  <c r="K138" i="8"/>
  <c r="M138" i="8"/>
  <c r="O138" i="8"/>
  <c r="Q138" i="8"/>
  <c r="S138" i="8"/>
  <c r="I158" i="8"/>
  <c r="K158" i="8"/>
  <c r="M158" i="8"/>
  <c r="O158" i="8"/>
  <c r="Q158" i="8"/>
  <c r="S158" i="8"/>
  <c r="I159" i="8"/>
  <c r="K159" i="8"/>
  <c r="M159" i="8"/>
  <c r="O159" i="8"/>
  <c r="Q159" i="8"/>
  <c r="S159" i="8"/>
  <c r="I160" i="8"/>
  <c r="K160" i="8"/>
  <c r="M160" i="8"/>
  <c r="O160" i="8"/>
  <c r="Q160" i="8"/>
  <c r="S160" i="8"/>
  <c r="I161" i="8"/>
  <c r="K161" i="8"/>
  <c r="M161" i="8"/>
  <c r="O161" i="8"/>
  <c r="Q161" i="8"/>
  <c r="S161" i="8"/>
  <c r="I162" i="8"/>
  <c r="K162" i="8"/>
  <c r="M162" i="8"/>
  <c r="O162" i="8"/>
  <c r="Q162" i="8"/>
  <c r="S162" i="8"/>
  <c r="I163" i="8"/>
  <c r="K163" i="8"/>
  <c r="M163" i="8"/>
  <c r="O163" i="8"/>
  <c r="Q163" i="8"/>
  <c r="S163" i="8"/>
  <c r="I164" i="8"/>
  <c r="K164" i="8"/>
  <c r="M164" i="8"/>
  <c r="O164" i="8"/>
  <c r="Q164" i="8"/>
  <c r="S164" i="8"/>
  <c r="I119" i="8"/>
  <c r="K119" i="8"/>
  <c r="M119" i="8"/>
  <c r="O119" i="8"/>
  <c r="Q119" i="8"/>
  <c r="S119" i="8"/>
  <c r="I120" i="8"/>
  <c r="K120" i="8"/>
  <c r="M120" i="8"/>
  <c r="O120" i="8"/>
  <c r="Q120" i="8"/>
  <c r="S120" i="8"/>
  <c r="I121" i="8"/>
  <c r="K121" i="8"/>
  <c r="M121" i="8"/>
  <c r="O121" i="8"/>
  <c r="Q121" i="8"/>
  <c r="S121" i="8"/>
  <c r="I100" i="8"/>
  <c r="K100" i="8"/>
  <c r="M100" i="8"/>
  <c r="O100" i="8"/>
  <c r="Q100" i="8"/>
  <c r="S100" i="8"/>
  <c r="I101" i="8"/>
  <c r="K101" i="8"/>
  <c r="M101" i="8"/>
  <c r="O101" i="8"/>
  <c r="Q101" i="8"/>
  <c r="S101" i="8"/>
  <c r="I102" i="8"/>
  <c r="K102" i="8"/>
  <c r="M102" i="8"/>
  <c r="O102" i="8"/>
  <c r="Q102" i="8"/>
  <c r="S102" i="8"/>
  <c r="I103" i="8"/>
  <c r="K103" i="8"/>
  <c r="M103" i="8"/>
  <c r="O103" i="8"/>
  <c r="Q103" i="8"/>
  <c r="S103" i="8"/>
  <c r="I104" i="8"/>
  <c r="K104" i="8"/>
  <c r="M104" i="8"/>
  <c r="O104" i="8"/>
  <c r="Q104" i="8"/>
  <c r="S104" i="8"/>
  <c r="I105" i="8"/>
  <c r="K105" i="8"/>
  <c r="M105" i="8"/>
  <c r="O105" i="8"/>
  <c r="Q105" i="8"/>
  <c r="S105" i="8"/>
  <c r="I106" i="8"/>
  <c r="K106" i="8"/>
  <c r="M106" i="8"/>
  <c r="O106" i="8"/>
  <c r="Q106" i="8"/>
  <c r="S106" i="8"/>
  <c r="I107" i="8"/>
  <c r="K107" i="8"/>
  <c r="M107" i="8"/>
  <c r="O107" i="8"/>
  <c r="Q107" i="8"/>
  <c r="S107" i="8"/>
  <c r="I115" i="8"/>
  <c r="K115" i="8"/>
  <c r="M115" i="8"/>
  <c r="O115" i="8"/>
  <c r="Q115" i="8"/>
  <c r="S115" i="8"/>
  <c r="I116" i="8"/>
  <c r="K116" i="8"/>
  <c r="M116" i="8"/>
  <c r="O116" i="8"/>
  <c r="Q116" i="8"/>
  <c r="S116" i="8"/>
  <c r="I117" i="8"/>
  <c r="K117" i="8"/>
  <c r="M117" i="8"/>
  <c r="O117" i="8"/>
  <c r="Q117" i="8"/>
  <c r="S117" i="8"/>
  <c r="I96" i="8"/>
  <c r="K96" i="8"/>
  <c r="M96" i="8"/>
  <c r="O96" i="8"/>
  <c r="Q96" i="8"/>
  <c r="S96" i="8"/>
  <c r="I97" i="8"/>
  <c r="K97" i="8"/>
  <c r="M97" i="8"/>
  <c r="O97" i="8"/>
  <c r="Q97" i="8"/>
  <c r="S97" i="8"/>
  <c r="I98" i="8"/>
  <c r="K98" i="8"/>
  <c r="M98" i="8"/>
  <c r="O98" i="8"/>
  <c r="Q98" i="8"/>
  <c r="S98" i="8"/>
  <c r="I83" i="8"/>
  <c r="K83" i="8"/>
  <c r="K82" i="8" s="1"/>
  <c r="K263" i="8" s="1"/>
  <c r="M83" i="8"/>
  <c r="M82" i="8" s="1"/>
  <c r="O83" i="8"/>
  <c r="O82" i="8" s="1"/>
  <c r="Q83" i="8"/>
  <c r="Q82" i="8" s="1"/>
  <c r="S83" i="8"/>
  <c r="S82" i="8" s="1"/>
  <c r="I24" i="8"/>
  <c r="K24" i="8"/>
  <c r="M24" i="8"/>
  <c r="O24" i="8"/>
  <c r="Q24" i="8"/>
  <c r="S24" i="8"/>
  <c r="I25" i="8"/>
  <c r="K25" i="8"/>
  <c r="M25" i="8"/>
  <c r="O25" i="8"/>
  <c r="Q25" i="8"/>
  <c r="S25" i="8"/>
  <c r="S16" i="8"/>
  <c r="M165" i="8"/>
  <c r="M266" i="8" s="1"/>
  <c r="O262" i="9" l="1"/>
  <c r="O260" i="9" s="1"/>
  <c r="O48" i="9"/>
  <c r="G268" i="9"/>
  <c r="D174" i="9"/>
  <c r="D268" i="9" s="1"/>
  <c r="D263" i="10"/>
  <c r="D16" i="10"/>
  <c r="D262" i="10"/>
  <c r="F55" i="10"/>
  <c r="D49" i="10"/>
  <c r="K265" i="10"/>
  <c r="K84" i="10"/>
  <c r="S274" i="10"/>
  <c r="D241" i="10"/>
  <c r="D118" i="9"/>
  <c r="F118" i="9" s="1"/>
  <c r="D15" i="10"/>
  <c r="F35" i="10"/>
  <c r="D32" i="10"/>
  <c r="G262" i="10"/>
  <c r="D78" i="10"/>
  <c r="F78" i="10" s="1"/>
  <c r="M84" i="10"/>
  <c r="M265" i="10"/>
  <c r="G266" i="10"/>
  <c r="D165" i="10"/>
  <c r="F165" i="10" s="1"/>
  <c r="G273" i="10"/>
  <c r="D223" i="10"/>
  <c r="D273" i="10" s="1"/>
  <c r="D90" i="9"/>
  <c r="G89" i="9"/>
  <c r="D272" i="9"/>
  <c r="F206" i="9"/>
  <c r="D187" i="9"/>
  <c r="F193" i="9"/>
  <c r="Q15" i="9"/>
  <c r="Q259" i="9" s="1"/>
  <c r="Q264" i="9"/>
  <c r="M48" i="9"/>
  <c r="D48" i="9" s="1"/>
  <c r="F48" i="9" s="1"/>
  <c r="M261" i="9"/>
  <c r="M260" i="9" s="1"/>
  <c r="D49" i="9"/>
  <c r="S85" i="9"/>
  <c r="S265" i="9" s="1"/>
  <c r="S266" i="9"/>
  <c r="D165" i="9"/>
  <c r="D118" i="10"/>
  <c r="F118" i="10" s="1"/>
  <c r="O84" i="10"/>
  <c r="O265" i="10"/>
  <c r="G269" i="10"/>
  <c r="D180" i="10"/>
  <c r="O31" i="9"/>
  <c r="G85" i="9"/>
  <c r="S267" i="9"/>
  <c r="D168" i="9"/>
  <c r="D269" i="10"/>
  <c r="G49" i="10"/>
  <c r="G261" i="10" s="1"/>
  <c r="I84" i="10"/>
  <c r="I265" i="10"/>
  <c r="S84" i="10"/>
  <c r="S265" i="10"/>
  <c r="D168" i="10"/>
  <c r="F168" i="10" s="1"/>
  <c r="D206" i="10"/>
  <c r="D272" i="10" s="1"/>
  <c r="K47" i="9"/>
  <c r="K259" i="9" s="1"/>
  <c r="K264" i="9"/>
  <c r="M206" i="8"/>
  <c r="M272" i="8" s="1"/>
  <c r="Q20" i="8"/>
  <c r="D24" i="8"/>
  <c r="I20" i="8"/>
  <c r="O263" i="8"/>
  <c r="O48" i="8"/>
  <c r="I165" i="8"/>
  <c r="D166" i="8"/>
  <c r="Q168" i="8"/>
  <c r="Q267" i="8" s="1"/>
  <c r="S89" i="8"/>
  <c r="K89" i="8"/>
  <c r="O99" i="8"/>
  <c r="O135" i="8"/>
  <c r="D169" i="8"/>
  <c r="D185" i="8"/>
  <c r="D183" i="8"/>
  <c r="D181" i="8"/>
  <c r="D208" i="8"/>
  <c r="O268" i="8"/>
  <c r="O20" i="8"/>
  <c r="S268" i="8"/>
  <c r="S20" i="8"/>
  <c r="S15" i="8" s="1"/>
  <c r="Q263" i="8"/>
  <c r="Q48" i="8"/>
  <c r="I82" i="8"/>
  <c r="D83" i="8"/>
  <c r="D106" i="8"/>
  <c r="Q99" i="8"/>
  <c r="D120" i="8"/>
  <c r="Q135" i="8"/>
  <c r="D97" i="8"/>
  <c r="M89" i="8"/>
  <c r="D117" i="8"/>
  <c r="D115" i="8"/>
  <c r="D104" i="8"/>
  <c r="D102" i="8"/>
  <c r="D100" i="8"/>
  <c r="D129" i="8"/>
  <c r="D163" i="8"/>
  <c r="D161" i="8"/>
  <c r="D159" i="8"/>
  <c r="D138" i="8"/>
  <c r="D136" i="8"/>
  <c r="S168" i="8"/>
  <c r="S267" i="8" s="1"/>
  <c r="K168" i="8"/>
  <c r="K267" i="8" s="1"/>
  <c r="O206" i="8"/>
  <c r="O272" i="8" s="1"/>
  <c r="K268" i="8"/>
  <c r="K20" i="8"/>
  <c r="D25" i="8"/>
  <c r="M268" i="8"/>
  <c r="M20" i="8"/>
  <c r="S48" i="8"/>
  <c r="S260" i="8" s="1"/>
  <c r="S263" i="8"/>
  <c r="Q174" i="8"/>
  <c r="Q268" i="8" s="1"/>
  <c r="Q206" i="8"/>
  <c r="Q272" i="8" s="1"/>
  <c r="O89" i="8"/>
  <c r="S99" i="8"/>
  <c r="K99" i="8"/>
  <c r="S135" i="8"/>
  <c r="K135" i="8"/>
  <c r="D167" i="8"/>
  <c r="D173" i="8"/>
  <c r="M168" i="8"/>
  <c r="M267" i="8" s="1"/>
  <c r="D179" i="8"/>
  <c r="D174" i="8" s="1"/>
  <c r="D184" i="8"/>
  <c r="D182" i="8"/>
  <c r="D207" i="8"/>
  <c r="K48" i="8"/>
  <c r="M48" i="8"/>
  <c r="M263" i="8"/>
  <c r="Q89" i="8"/>
  <c r="D107" i="8"/>
  <c r="D105" i="8"/>
  <c r="D98" i="8"/>
  <c r="D96" i="8"/>
  <c r="D116" i="8"/>
  <c r="D103" i="8"/>
  <c r="D101" i="8"/>
  <c r="M99" i="8"/>
  <c r="D121" i="8"/>
  <c r="D119" i="8"/>
  <c r="D164" i="8"/>
  <c r="D162" i="8"/>
  <c r="D160" i="8"/>
  <c r="D158" i="8"/>
  <c r="D137" i="8"/>
  <c r="M135" i="8"/>
  <c r="O168" i="8"/>
  <c r="O267" i="8" s="1"/>
  <c r="S206" i="8"/>
  <c r="S272" i="8" s="1"/>
  <c r="K206" i="8"/>
  <c r="K272" i="8" s="1"/>
  <c r="D15" i="9"/>
  <c r="G15" i="9"/>
  <c r="O85" i="9"/>
  <c r="G85" i="10"/>
  <c r="S223" i="8"/>
  <c r="S273" i="8" s="1"/>
  <c r="I86" i="8"/>
  <c r="M180" i="8"/>
  <c r="M269" i="8" s="1"/>
  <c r="O118" i="8"/>
  <c r="I89" i="8"/>
  <c r="S118" i="8"/>
  <c r="I78" i="8"/>
  <c r="I262" i="8" s="1"/>
  <c r="Q180" i="8"/>
  <c r="Q269" i="8" s="1"/>
  <c r="I99" i="8"/>
  <c r="M118" i="8"/>
  <c r="I168" i="8"/>
  <c r="I267" i="8" s="1"/>
  <c r="O180" i="8"/>
  <c r="O269" i="8" s="1"/>
  <c r="I206" i="8"/>
  <c r="I272" i="8" s="1"/>
  <c r="S180" i="8"/>
  <c r="S269" i="8" s="1"/>
  <c r="Q118" i="8"/>
  <c r="I49" i="8"/>
  <c r="I261" i="8" s="1"/>
  <c r="I118" i="8"/>
  <c r="I174" i="8"/>
  <c r="I268" i="8" s="1"/>
  <c r="M84" i="9"/>
  <c r="G261" i="9"/>
  <c r="G260" i="9" s="1"/>
  <c r="G48" i="10"/>
  <c r="M31" i="9"/>
  <c r="I36" i="8"/>
  <c r="I31" i="8" s="1"/>
  <c r="G260" i="10"/>
  <c r="G271" i="10"/>
  <c r="G272" i="10"/>
  <c r="G36" i="10"/>
  <c r="G271" i="9"/>
  <c r="G272" i="9"/>
  <c r="K118" i="8"/>
  <c r="I180" i="8"/>
  <c r="I135" i="8"/>
  <c r="K180" i="8"/>
  <c r="K269" i="8" s="1"/>
  <c r="D271" i="9" l="1"/>
  <c r="F187" i="9"/>
  <c r="F90" i="9"/>
  <c r="D89" i="9"/>
  <c r="K47" i="10"/>
  <c r="K259" i="10" s="1"/>
  <c r="K264" i="10"/>
  <c r="D266" i="10"/>
  <c r="O264" i="10"/>
  <c r="O47" i="10"/>
  <c r="O259" i="10" s="1"/>
  <c r="D31" i="10"/>
  <c r="F31" i="10" s="1"/>
  <c r="F32" i="10"/>
  <c r="S264" i="10"/>
  <c r="S47" i="10"/>
  <c r="S259" i="10" s="1"/>
  <c r="D206" i="8"/>
  <c r="D272" i="8" s="1"/>
  <c r="D267" i="9"/>
  <c r="F168" i="9"/>
  <c r="D261" i="9"/>
  <c r="D260" i="9" s="1"/>
  <c r="F49" i="9"/>
  <c r="M264" i="10"/>
  <c r="M47" i="10"/>
  <c r="M259" i="10" s="1"/>
  <c r="D274" i="10"/>
  <c r="F241" i="10"/>
  <c r="D48" i="10"/>
  <c r="F48" i="10" s="1"/>
  <c r="D261" i="10"/>
  <c r="D260" i="10" s="1"/>
  <c r="F49" i="10"/>
  <c r="S84" i="9"/>
  <c r="S264" i="9" s="1"/>
  <c r="I264" i="10"/>
  <c r="I47" i="10"/>
  <c r="I259" i="10" s="1"/>
  <c r="D266" i="9"/>
  <c r="F165" i="9"/>
  <c r="D267" i="10"/>
  <c r="G265" i="10"/>
  <c r="D85" i="10"/>
  <c r="O84" i="9"/>
  <c r="O265" i="9"/>
  <c r="M47" i="9"/>
  <c r="M259" i="9" s="1"/>
  <c r="M264" i="9"/>
  <c r="S47" i="9"/>
  <c r="S259" i="9" s="1"/>
  <c r="I84" i="9"/>
  <c r="G84" i="9"/>
  <c r="G47" i="9" s="1"/>
  <c r="I263" i="8"/>
  <c r="D99" i="8"/>
  <c r="K85" i="8"/>
  <c r="Q85" i="8"/>
  <c r="I269" i="8"/>
  <c r="D268" i="8"/>
  <c r="D20" i="8"/>
  <c r="D135" i="8"/>
  <c r="I266" i="8"/>
  <c r="I85" i="8"/>
  <c r="I265" i="8" s="1"/>
  <c r="O85" i="8"/>
  <c r="M85" i="8"/>
  <c r="D168" i="8"/>
  <c r="D267" i="8" s="1"/>
  <c r="S85" i="8"/>
  <c r="G265" i="9"/>
  <c r="I48" i="8"/>
  <c r="G84" i="10"/>
  <c r="G31" i="10"/>
  <c r="D85" i="9" l="1"/>
  <c r="F89" i="9"/>
  <c r="G47" i="10"/>
  <c r="G259" i="10" s="1"/>
  <c r="D84" i="10"/>
  <c r="D265" i="10"/>
  <c r="F85" i="10"/>
  <c r="O47" i="9"/>
  <c r="O259" i="9" s="1"/>
  <c r="O264" i="9"/>
  <c r="I47" i="9"/>
  <c r="I259" i="9" s="1"/>
  <c r="I264" i="9"/>
  <c r="D84" i="9"/>
  <c r="I84" i="8"/>
  <c r="I264" i="8" s="1"/>
  <c r="O265" i="8"/>
  <c r="O84" i="8"/>
  <c r="K265" i="8"/>
  <c r="K84" i="8"/>
  <c r="S265" i="8"/>
  <c r="S84" i="8"/>
  <c r="M265" i="8"/>
  <c r="M84" i="8"/>
  <c r="Q265" i="8"/>
  <c r="Q84" i="8"/>
  <c r="G264" i="9"/>
  <c r="G264" i="10"/>
  <c r="F85" i="9" l="1"/>
  <c r="D265" i="9"/>
  <c r="D264" i="10"/>
  <c r="D47" i="10"/>
  <c r="F84" i="10"/>
  <c r="D264" i="9"/>
  <c r="F84" i="9"/>
  <c r="D47" i="9"/>
  <c r="I47" i="8"/>
  <c r="Q47" i="8"/>
  <c r="Q264" i="8"/>
  <c r="O264" i="8"/>
  <c r="O47" i="8"/>
  <c r="S264" i="8"/>
  <c r="S47" i="8"/>
  <c r="S259" i="8" s="1"/>
  <c r="M47" i="8"/>
  <c r="M264" i="8"/>
  <c r="K47" i="8"/>
  <c r="K264" i="8"/>
  <c r="G259" i="9"/>
  <c r="D259" i="10" l="1"/>
  <c r="F47" i="10"/>
  <c r="D259" i="9"/>
  <c r="F47" i="9"/>
  <c r="G91" i="7"/>
  <c r="D91" i="7" l="1"/>
  <c r="G91" i="8"/>
  <c r="S241" i="7"/>
  <c r="S274" i="7" s="1"/>
  <c r="O241" i="7"/>
  <c r="O274" i="7" s="1"/>
  <c r="M241" i="7"/>
  <c r="M274" i="7" s="1"/>
  <c r="K241" i="7"/>
  <c r="K274" i="7" s="1"/>
  <c r="I241" i="7"/>
  <c r="I274" i="7" s="1"/>
  <c r="G241" i="7"/>
  <c r="S223" i="7"/>
  <c r="S273" i="7" s="1"/>
  <c r="O223" i="7"/>
  <c r="O273" i="7" s="1"/>
  <c r="M223" i="7"/>
  <c r="M273" i="7" s="1"/>
  <c r="K223" i="7"/>
  <c r="K273" i="7" s="1"/>
  <c r="I223" i="7"/>
  <c r="I273" i="7" s="1"/>
  <c r="G223" i="7"/>
  <c r="S206" i="7"/>
  <c r="S272" i="7" s="1"/>
  <c r="O206" i="7"/>
  <c r="O272" i="7" s="1"/>
  <c r="M206" i="7"/>
  <c r="M272" i="7" s="1"/>
  <c r="K206" i="7"/>
  <c r="K272" i="7" s="1"/>
  <c r="I206" i="7"/>
  <c r="I272" i="7" s="1"/>
  <c r="G206" i="7"/>
  <c r="O187" i="7"/>
  <c r="O271" i="7" s="1"/>
  <c r="M187" i="7"/>
  <c r="M271" i="7" s="1"/>
  <c r="K187" i="7"/>
  <c r="K271" i="7" s="1"/>
  <c r="I187" i="7"/>
  <c r="I271" i="7" s="1"/>
  <c r="G187" i="7"/>
  <c r="S180" i="7"/>
  <c r="S269" i="7" s="1"/>
  <c r="O180" i="7"/>
  <c r="O269" i="7" s="1"/>
  <c r="M180" i="7"/>
  <c r="M269" i="7" s="1"/>
  <c r="K180" i="7"/>
  <c r="K269" i="7" s="1"/>
  <c r="I180" i="7"/>
  <c r="I269" i="7" s="1"/>
  <c r="G180" i="7"/>
  <c r="S174" i="7"/>
  <c r="S268" i="7" s="1"/>
  <c r="O174" i="7"/>
  <c r="O268" i="7" s="1"/>
  <c r="M174" i="7"/>
  <c r="M268" i="7" s="1"/>
  <c r="K174" i="7"/>
  <c r="K268" i="7" s="1"/>
  <c r="G174" i="7"/>
  <c r="S168" i="7"/>
  <c r="S267" i="7" s="1"/>
  <c r="O168" i="7"/>
  <c r="O267" i="7" s="1"/>
  <c r="M168" i="7"/>
  <c r="M267" i="7" s="1"/>
  <c r="K168" i="7"/>
  <c r="K267" i="7" s="1"/>
  <c r="I168" i="7"/>
  <c r="I267" i="7" s="1"/>
  <c r="G168" i="7"/>
  <c r="S165" i="7"/>
  <c r="S266" i="7" s="1"/>
  <c r="O165" i="7"/>
  <c r="O266" i="7" s="1"/>
  <c r="M165" i="7"/>
  <c r="M266" i="7" s="1"/>
  <c r="K165" i="7"/>
  <c r="K266" i="7" s="1"/>
  <c r="I165" i="7"/>
  <c r="I266" i="7" s="1"/>
  <c r="G165" i="7"/>
  <c r="S135" i="7"/>
  <c r="O135" i="7"/>
  <c r="M135" i="7"/>
  <c r="K135" i="7"/>
  <c r="I135" i="7"/>
  <c r="G135" i="7"/>
  <c r="S129" i="7"/>
  <c r="O129" i="7"/>
  <c r="M129" i="7"/>
  <c r="K129" i="7"/>
  <c r="I129" i="7"/>
  <c r="G129" i="7"/>
  <c r="D129" i="7" s="1"/>
  <c r="S118" i="7"/>
  <c r="O118" i="7"/>
  <c r="M118" i="7"/>
  <c r="K118" i="7"/>
  <c r="I118" i="7"/>
  <c r="G118" i="7"/>
  <c r="O99" i="7"/>
  <c r="M99" i="7"/>
  <c r="K99" i="7"/>
  <c r="I99" i="7"/>
  <c r="I85" i="7" s="1"/>
  <c r="I84" i="7" s="1"/>
  <c r="G99" i="7"/>
  <c r="O89" i="7"/>
  <c r="M89" i="7"/>
  <c r="K89" i="7"/>
  <c r="G89" i="7"/>
  <c r="O86" i="7"/>
  <c r="O85" i="7" s="1"/>
  <c r="O84" i="7" s="1"/>
  <c r="M86" i="7"/>
  <c r="K86" i="7"/>
  <c r="G86" i="7"/>
  <c r="O82" i="7"/>
  <c r="O263" i="7" s="1"/>
  <c r="M82" i="7"/>
  <c r="M263" i="7" s="1"/>
  <c r="K82" i="7"/>
  <c r="K263" i="7" s="1"/>
  <c r="I82" i="7"/>
  <c r="I263" i="7" s="1"/>
  <c r="G82" i="7"/>
  <c r="O78" i="7"/>
  <c r="M78" i="7"/>
  <c r="K78" i="7"/>
  <c r="I78" i="7"/>
  <c r="I49" i="7"/>
  <c r="I36" i="7"/>
  <c r="M32" i="7"/>
  <c r="I20" i="7"/>
  <c r="D20" i="7" s="1"/>
  <c r="Q16" i="7"/>
  <c r="Q15" i="7" s="1"/>
  <c r="Q259" i="7" s="1"/>
  <c r="O16" i="7"/>
  <c r="O15" i="7" s="1"/>
  <c r="M16" i="7"/>
  <c r="M15" i="7" s="1"/>
  <c r="K16" i="7"/>
  <c r="K15" i="7" s="1"/>
  <c r="I16" i="7"/>
  <c r="G16" i="7"/>
  <c r="K262" i="7" l="1"/>
  <c r="K260" i="7" s="1"/>
  <c r="K48" i="7"/>
  <c r="D86" i="7"/>
  <c r="G85" i="7"/>
  <c r="G84" i="7" s="1"/>
  <c r="D89" i="7"/>
  <c r="D99" i="7"/>
  <c r="G263" i="7"/>
  <c r="G260" i="7" s="1"/>
  <c r="D82" i="7"/>
  <c r="D263" i="7" s="1"/>
  <c r="G82" i="8"/>
  <c r="G48" i="7"/>
  <c r="G272" i="7"/>
  <c r="D206" i="7"/>
  <c r="D272" i="7" s="1"/>
  <c r="G274" i="7"/>
  <c r="D241" i="7"/>
  <c r="D274" i="7" s="1"/>
  <c r="G15" i="7"/>
  <c r="G16" i="8"/>
  <c r="I31" i="7"/>
  <c r="D36" i="7"/>
  <c r="M262" i="7"/>
  <c r="M260" i="7" s="1"/>
  <c r="M48" i="7"/>
  <c r="K85" i="7"/>
  <c r="K84" i="7" s="1"/>
  <c r="D135" i="7"/>
  <c r="G273" i="7"/>
  <c r="D223" i="7"/>
  <c r="D273" i="7" s="1"/>
  <c r="D91" i="8"/>
  <c r="D89" i="8" s="1"/>
  <c r="G89" i="8"/>
  <c r="I262" i="7"/>
  <c r="D78" i="7"/>
  <c r="D165" i="7"/>
  <c r="D266" i="7" s="1"/>
  <c r="G266" i="7"/>
  <c r="I15" i="7"/>
  <c r="O262" i="7"/>
  <c r="O260" i="7" s="1"/>
  <c r="O48" i="7"/>
  <c r="M85" i="7"/>
  <c r="M84" i="7" s="1"/>
  <c r="S85" i="7"/>
  <c r="D187" i="7"/>
  <c r="D271" i="7" s="1"/>
  <c r="G271" i="7"/>
  <c r="G269" i="7"/>
  <c r="D180" i="7"/>
  <c r="D269" i="7" s="1"/>
  <c r="D168" i="7"/>
  <c r="D267" i="7" s="1"/>
  <c r="G267" i="7"/>
  <c r="G268" i="7"/>
  <c r="D174" i="7"/>
  <c r="D268" i="7" s="1"/>
  <c r="I48" i="7"/>
  <c r="I261" i="7"/>
  <c r="D261" i="7"/>
  <c r="K265" i="7"/>
  <c r="D118" i="7"/>
  <c r="M31" i="7"/>
  <c r="D32" i="7"/>
  <c r="M265" i="7"/>
  <c r="O265" i="7"/>
  <c r="D16" i="7"/>
  <c r="D15" i="7" s="1"/>
  <c r="G265" i="7"/>
  <c r="D262" i="7" l="1"/>
  <c r="D48" i="7"/>
  <c r="G15" i="8"/>
  <c r="D85" i="7"/>
  <c r="I260" i="7"/>
  <c r="D260" i="7"/>
  <c r="S84" i="7"/>
  <c r="S265" i="7"/>
  <c r="G263" i="8"/>
  <c r="G48" i="8"/>
  <c r="G260" i="8" s="1"/>
  <c r="D82" i="8"/>
  <c r="I265" i="7"/>
  <c r="M264" i="7"/>
  <c r="M47" i="7"/>
  <c r="M259" i="7" s="1"/>
  <c r="D31" i="7"/>
  <c r="Q16" i="8"/>
  <c r="K264" i="7"/>
  <c r="D263" i="8" l="1"/>
  <c r="D48" i="8"/>
  <c r="S264" i="7"/>
  <c r="S47" i="7"/>
  <c r="S259" i="7" s="1"/>
  <c r="D265" i="7"/>
  <c r="D84" i="7"/>
  <c r="G47" i="7"/>
  <c r="G259" i="7" s="1"/>
  <c r="G264" i="7"/>
  <c r="I264" i="7"/>
  <c r="I47" i="7"/>
  <c r="I259" i="7" s="1"/>
  <c r="O264" i="7"/>
  <c r="O47" i="7"/>
  <c r="O259" i="7" s="1"/>
  <c r="Q15" i="8"/>
  <c r="Q259" i="8" s="1"/>
  <c r="Q260" i="8"/>
  <c r="K47" i="7"/>
  <c r="D264" i="7" l="1"/>
  <c r="D47" i="7"/>
  <c r="D259" i="7" s="1"/>
  <c r="K259" i="7"/>
  <c r="S223" i="6"/>
  <c r="S273" i="6" s="1"/>
  <c r="S180" i="6"/>
  <c r="S269" i="6" s="1"/>
  <c r="O180" i="6"/>
  <c r="O269" i="6" s="1"/>
  <c r="M180" i="6"/>
  <c r="M269" i="6" s="1"/>
  <c r="K180" i="6"/>
  <c r="K269" i="6" s="1"/>
  <c r="I180" i="6"/>
  <c r="I269" i="6" s="1"/>
  <c r="G180" i="6"/>
  <c r="G174" i="6"/>
  <c r="G268" i="6" s="1"/>
  <c r="G168" i="6"/>
  <c r="G267" i="6" s="1"/>
  <c r="S165" i="6"/>
  <c r="S266" i="6" s="1"/>
  <c r="O165" i="6"/>
  <c r="O266" i="6" s="1"/>
  <c r="M165" i="6"/>
  <c r="M266" i="6" s="1"/>
  <c r="K165" i="6"/>
  <c r="K266" i="6" s="1"/>
  <c r="I165" i="6"/>
  <c r="I266" i="6" s="1"/>
  <c r="G165" i="6"/>
  <c r="G135" i="6"/>
  <c r="S129" i="6"/>
  <c r="S85" i="6" s="1"/>
  <c r="O129" i="6"/>
  <c r="M129" i="6"/>
  <c r="K129" i="6"/>
  <c r="I129" i="6"/>
  <c r="G129" i="6"/>
  <c r="S118" i="6"/>
  <c r="O118" i="6"/>
  <c r="O85" i="6" s="1"/>
  <c r="M118" i="6"/>
  <c r="M85" i="6" s="1"/>
  <c r="K118" i="6"/>
  <c r="I118" i="6"/>
  <c r="G118" i="6"/>
  <c r="G99" i="6"/>
  <c r="G89" i="6"/>
  <c r="G86" i="6"/>
  <c r="O82" i="6"/>
  <c r="O48" i="6" s="1"/>
  <c r="O260" i="6" s="1"/>
  <c r="M82" i="6"/>
  <c r="M48" i="6" s="1"/>
  <c r="M260" i="6" s="1"/>
  <c r="K82" i="6"/>
  <c r="K48" i="6" s="1"/>
  <c r="K260" i="6" s="1"/>
  <c r="I82" i="6"/>
  <c r="O36" i="6"/>
  <c r="O31" i="6" s="1"/>
  <c r="G32" i="6"/>
  <c r="O16" i="8"/>
  <c r="M16" i="8"/>
  <c r="K16" i="8"/>
  <c r="I16" i="8"/>
  <c r="I242" i="5"/>
  <c r="K242" i="5"/>
  <c r="M242" i="5"/>
  <c r="O242" i="5"/>
  <c r="S242" i="5"/>
  <c r="I243" i="5"/>
  <c r="K243" i="5"/>
  <c r="M243" i="5"/>
  <c r="O243" i="5"/>
  <c r="S243" i="5"/>
  <c r="I244" i="5"/>
  <c r="K244" i="5"/>
  <c r="M244" i="5"/>
  <c r="O244" i="5"/>
  <c r="S244" i="5"/>
  <c r="I245" i="5"/>
  <c r="K245" i="5"/>
  <c r="M245" i="5"/>
  <c r="O245" i="5"/>
  <c r="S245" i="5"/>
  <c r="I246" i="5"/>
  <c r="K246" i="5"/>
  <c r="M246" i="5"/>
  <c r="O246" i="5"/>
  <c r="S246" i="5"/>
  <c r="I247" i="5"/>
  <c r="K247" i="5"/>
  <c r="M247" i="5"/>
  <c r="O247" i="5"/>
  <c r="S247" i="5"/>
  <c r="I248" i="5"/>
  <c r="K248" i="5"/>
  <c r="M248" i="5"/>
  <c r="O248" i="5"/>
  <c r="S248" i="5"/>
  <c r="I249" i="5"/>
  <c r="K249" i="5"/>
  <c r="M249" i="5"/>
  <c r="O249" i="5"/>
  <c r="S249" i="5"/>
  <c r="I250" i="5"/>
  <c r="K250" i="5"/>
  <c r="M250" i="5"/>
  <c r="O250" i="5"/>
  <c r="S250" i="5"/>
  <c r="I251" i="5"/>
  <c r="K251" i="5"/>
  <c r="M251" i="5"/>
  <c r="O251" i="5"/>
  <c r="S251" i="5"/>
  <c r="I252" i="5"/>
  <c r="K252" i="5"/>
  <c r="M252" i="5"/>
  <c r="O252" i="5"/>
  <c r="S252" i="5"/>
  <c r="I253" i="5"/>
  <c r="K253" i="5"/>
  <c r="M253" i="5"/>
  <c r="O253" i="5"/>
  <c r="S253" i="5"/>
  <c r="I254" i="5"/>
  <c r="K254" i="5"/>
  <c r="M254" i="5"/>
  <c r="O254" i="5"/>
  <c r="S254" i="5"/>
  <c r="I255" i="5"/>
  <c r="K255" i="5"/>
  <c r="M255" i="5"/>
  <c r="O255" i="5"/>
  <c r="S255" i="5"/>
  <c r="I256" i="5"/>
  <c r="K256" i="5"/>
  <c r="M256" i="5"/>
  <c r="O256" i="5"/>
  <c r="S256" i="5"/>
  <c r="I257" i="5"/>
  <c r="K257" i="5"/>
  <c r="M257" i="5"/>
  <c r="O257" i="5"/>
  <c r="S257" i="5"/>
  <c r="I258" i="5"/>
  <c r="K258" i="5"/>
  <c r="M258" i="5"/>
  <c r="O258" i="5"/>
  <c r="S258" i="5"/>
  <c r="I224" i="5"/>
  <c r="K224" i="5"/>
  <c r="M224" i="5"/>
  <c r="O224" i="5"/>
  <c r="S224" i="5"/>
  <c r="I225" i="5"/>
  <c r="K225" i="5"/>
  <c r="M225" i="5"/>
  <c r="O225" i="5"/>
  <c r="S225" i="5"/>
  <c r="I226" i="5"/>
  <c r="K226" i="5"/>
  <c r="M226" i="5"/>
  <c r="O226" i="5"/>
  <c r="S226" i="5"/>
  <c r="I227" i="5"/>
  <c r="K227" i="5"/>
  <c r="M227" i="5"/>
  <c r="O227" i="5"/>
  <c r="S227" i="5"/>
  <c r="I228" i="5"/>
  <c r="K228" i="5"/>
  <c r="M228" i="5"/>
  <c r="O228" i="5"/>
  <c r="S228" i="5"/>
  <c r="I229" i="5"/>
  <c r="K229" i="5"/>
  <c r="M229" i="5"/>
  <c r="O229" i="5"/>
  <c r="S229" i="5"/>
  <c r="I230" i="5"/>
  <c r="K230" i="5"/>
  <c r="M230" i="5"/>
  <c r="O230" i="5"/>
  <c r="S230" i="5"/>
  <c r="I231" i="5"/>
  <c r="K231" i="5"/>
  <c r="M231" i="5"/>
  <c r="O231" i="5"/>
  <c r="S231" i="5"/>
  <c r="I232" i="5"/>
  <c r="K232" i="5"/>
  <c r="M232" i="5"/>
  <c r="O232" i="5"/>
  <c r="S232" i="5"/>
  <c r="I233" i="5"/>
  <c r="K233" i="5"/>
  <c r="M233" i="5"/>
  <c r="O233" i="5"/>
  <c r="S233" i="5"/>
  <c r="I234" i="5"/>
  <c r="K234" i="5"/>
  <c r="M234" i="5"/>
  <c r="O234" i="5"/>
  <c r="S234" i="5"/>
  <c r="I235" i="5"/>
  <c r="K235" i="5"/>
  <c r="M235" i="5"/>
  <c r="O235" i="5"/>
  <c r="S235" i="5"/>
  <c r="I236" i="5"/>
  <c r="K236" i="5"/>
  <c r="M236" i="5"/>
  <c r="O236" i="5"/>
  <c r="S236" i="5"/>
  <c r="I237" i="5"/>
  <c r="K237" i="5"/>
  <c r="M237" i="5"/>
  <c r="O237" i="5"/>
  <c r="S237" i="5"/>
  <c r="I238" i="5"/>
  <c r="K238" i="5"/>
  <c r="M238" i="5"/>
  <c r="O238" i="5"/>
  <c r="S238" i="5"/>
  <c r="I239" i="5"/>
  <c r="K239" i="5"/>
  <c r="M239" i="5"/>
  <c r="O239" i="5"/>
  <c r="S239" i="5"/>
  <c r="I240" i="5"/>
  <c r="K240" i="5"/>
  <c r="M240" i="5"/>
  <c r="O240" i="5"/>
  <c r="S240" i="5"/>
  <c r="I207" i="5"/>
  <c r="K207" i="5"/>
  <c r="M207" i="5"/>
  <c r="O207" i="5"/>
  <c r="S207" i="5"/>
  <c r="I208" i="5"/>
  <c r="K208" i="5"/>
  <c r="M208" i="5"/>
  <c r="O208" i="5"/>
  <c r="S208" i="5"/>
  <c r="I209" i="5"/>
  <c r="K209" i="5"/>
  <c r="M209" i="5"/>
  <c r="O209" i="5"/>
  <c r="S209" i="5"/>
  <c r="I210" i="5"/>
  <c r="K210" i="5"/>
  <c r="M210" i="5"/>
  <c r="O210" i="5"/>
  <c r="S210" i="5"/>
  <c r="I211" i="5"/>
  <c r="K211" i="5"/>
  <c r="M211" i="5"/>
  <c r="O211" i="5"/>
  <c r="S211" i="5"/>
  <c r="I212" i="5"/>
  <c r="K212" i="5"/>
  <c r="M212" i="5"/>
  <c r="O212" i="5"/>
  <c r="S212" i="5"/>
  <c r="I213" i="5"/>
  <c r="K213" i="5"/>
  <c r="M213" i="5"/>
  <c r="O213" i="5"/>
  <c r="S213" i="5"/>
  <c r="I214" i="5"/>
  <c r="K214" i="5"/>
  <c r="M214" i="5"/>
  <c r="O214" i="5"/>
  <c r="S214" i="5"/>
  <c r="I215" i="5"/>
  <c r="K215" i="5"/>
  <c r="M215" i="5"/>
  <c r="O215" i="5"/>
  <c r="S215" i="5"/>
  <c r="I216" i="5"/>
  <c r="K216" i="5"/>
  <c r="M216" i="5"/>
  <c r="O216" i="5"/>
  <c r="S216" i="5"/>
  <c r="I217" i="5"/>
  <c r="K217" i="5"/>
  <c r="M217" i="5"/>
  <c r="O217" i="5"/>
  <c r="S217" i="5"/>
  <c r="I218" i="5"/>
  <c r="K218" i="5"/>
  <c r="M218" i="5"/>
  <c r="O218" i="5"/>
  <c r="S218" i="5"/>
  <c r="I219" i="5"/>
  <c r="K219" i="5"/>
  <c r="M219" i="5"/>
  <c r="O219" i="5"/>
  <c r="S219" i="5"/>
  <c r="I220" i="5"/>
  <c r="K220" i="5"/>
  <c r="M220" i="5"/>
  <c r="O220" i="5"/>
  <c r="S220" i="5"/>
  <c r="I221" i="5"/>
  <c r="K221" i="5"/>
  <c r="M221" i="5"/>
  <c r="O221" i="5"/>
  <c r="S221" i="5"/>
  <c r="I222" i="5"/>
  <c r="K222" i="5"/>
  <c r="M222" i="5"/>
  <c r="O222" i="5"/>
  <c r="S222" i="5"/>
  <c r="I188" i="5"/>
  <c r="K188" i="5"/>
  <c r="M188" i="5"/>
  <c r="O188" i="5"/>
  <c r="S188" i="5"/>
  <c r="I189" i="5"/>
  <c r="K189" i="5"/>
  <c r="M189" i="5"/>
  <c r="O189" i="5"/>
  <c r="S189" i="5"/>
  <c r="I190" i="5"/>
  <c r="K190" i="5"/>
  <c r="M190" i="5"/>
  <c r="O190" i="5"/>
  <c r="S190" i="5"/>
  <c r="I191" i="5"/>
  <c r="K191" i="5"/>
  <c r="M191" i="5"/>
  <c r="O191" i="5"/>
  <c r="S191" i="5"/>
  <c r="I192" i="5"/>
  <c r="K192" i="5"/>
  <c r="M192" i="5"/>
  <c r="O192" i="5"/>
  <c r="S192" i="5"/>
  <c r="I193" i="5"/>
  <c r="K193" i="5"/>
  <c r="M193" i="5"/>
  <c r="O193" i="5"/>
  <c r="S193" i="5"/>
  <c r="I194" i="5"/>
  <c r="K194" i="5"/>
  <c r="M194" i="5"/>
  <c r="O194" i="5"/>
  <c r="S194" i="5"/>
  <c r="I195" i="5"/>
  <c r="K195" i="5"/>
  <c r="M195" i="5"/>
  <c r="O195" i="5"/>
  <c r="S195" i="5"/>
  <c r="I196" i="5"/>
  <c r="K196" i="5"/>
  <c r="M196" i="5"/>
  <c r="O196" i="5"/>
  <c r="S196" i="5"/>
  <c r="I197" i="5"/>
  <c r="K197" i="5"/>
  <c r="M197" i="5"/>
  <c r="O197" i="5"/>
  <c r="S197" i="5"/>
  <c r="I198" i="5"/>
  <c r="K198" i="5"/>
  <c r="M198" i="5"/>
  <c r="O198" i="5"/>
  <c r="S198" i="5"/>
  <c r="I199" i="5"/>
  <c r="K199" i="5"/>
  <c r="M199" i="5"/>
  <c r="O199" i="5"/>
  <c r="S199" i="5"/>
  <c r="I200" i="5"/>
  <c r="K200" i="5"/>
  <c r="M200" i="5"/>
  <c r="O200" i="5"/>
  <c r="S200" i="5"/>
  <c r="I201" i="5"/>
  <c r="K201" i="5"/>
  <c r="M201" i="5"/>
  <c r="O201" i="5"/>
  <c r="S201" i="5"/>
  <c r="I202" i="5"/>
  <c r="K202" i="5"/>
  <c r="M202" i="5"/>
  <c r="O202" i="5"/>
  <c r="S202" i="5"/>
  <c r="I203" i="5"/>
  <c r="K203" i="5"/>
  <c r="M203" i="5"/>
  <c r="O203" i="5"/>
  <c r="S203" i="5"/>
  <c r="I181" i="5"/>
  <c r="K181" i="5"/>
  <c r="M181" i="5"/>
  <c r="O181" i="5"/>
  <c r="S181" i="5"/>
  <c r="I182" i="5"/>
  <c r="K182" i="5"/>
  <c r="M182" i="5"/>
  <c r="O182" i="5"/>
  <c r="S182" i="5"/>
  <c r="I183" i="5"/>
  <c r="K183" i="5"/>
  <c r="M183" i="5"/>
  <c r="O183" i="5"/>
  <c r="S183" i="5"/>
  <c r="I184" i="5"/>
  <c r="K184" i="5"/>
  <c r="M184" i="5"/>
  <c r="O184" i="5"/>
  <c r="S184" i="5"/>
  <c r="I185" i="5"/>
  <c r="K185" i="5"/>
  <c r="M185" i="5"/>
  <c r="O185" i="5"/>
  <c r="S185" i="5"/>
  <c r="I175" i="5"/>
  <c r="K175" i="5"/>
  <c r="M175" i="5"/>
  <c r="O175" i="5"/>
  <c r="S175" i="5"/>
  <c r="I176" i="5"/>
  <c r="K176" i="5"/>
  <c r="M176" i="5"/>
  <c r="O176" i="5"/>
  <c r="S176" i="5"/>
  <c r="I177" i="5"/>
  <c r="K177" i="5"/>
  <c r="M177" i="5"/>
  <c r="O177" i="5"/>
  <c r="S177" i="5"/>
  <c r="I178" i="5"/>
  <c r="K178" i="5"/>
  <c r="M178" i="5"/>
  <c r="O178" i="5"/>
  <c r="S178" i="5"/>
  <c r="I179" i="5"/>
  <c r="K179" i="5"/>
  <c r="M179" i="5"/>
  <c r="O179" i="5"/>
  <c r="S179" i="5"/>
  <c r="I169" i="5"/>
  <c r="K169" i="5"/>
  <c r="M169" i="5"/>
  <c r="O169" i="5"/>
  <c r="S169" i="5"/>
  <c r="I173" i="5"/>
  <c r="K173" i="5"/>
  <c r="M173" i="5"/>
  <c r="O173" i="5"/>
  <c r="S173" i="5"/>
  <c r="I166" i="5"/>
  <c r="K166" i="5"/>
  <c r="M166" i="5"/>
  <c r="O166" i="5"/>
  <c r="S166" i="5"/>
  <c r="I167" i="5"/>
  <c r="K167" i="5"/>
  <c r="M167" i="5"/>
  <c r="O167" i="5"/>
  <c r="S167" i="5"/>
  <c r="I136" i="5"/>
  <c r="K136" i="5"/>
  <c r="M136" i="5"/>
  <c r="O136" i="5"/>
  <c r="S136" i="5"/>
  <c r="I137" i="5"/>
  <c r="K137" i="5"/>
  <c r="M137" i="5"/>
  <c r="O137" i="5"/>
  <c r="S137" i="5"/>
  <c r="I138" i="5"/>
  <c r="K138" i="5"/>
  <c r="M138" i="5"/>
  <c r="O138" i="5"/>
  <c r="S138" i="5"/>
  <c r="I139" i="5"/>
  <c r="K139" i="5"/>
  <c r="M139" i="5"/>
  <c r="O139" i="5"/>
  <c r="S139" i="5"/>
  <c r="I155" i="5"/>
  <c r="K155" i="5"/>
  <c r="M155" i="5"/>
  <c r="O155" i="5"/>
  <c r="S155" i="5"/>
  <c r="I156" i="5"/>
  <c r="K156" i="5"/>
  <c r="M156" i="5"/>
  <c r="O156" i="5"/>
  <c r="S156" i="5"/>
  <c r="I157" i="5"/>
  <c r="K157" i="5"/>
  <c r="M157" i="5"/>
  <c r="O157" i="5"/>
  <c r="S157" i="5"/>
  <c r="I158" i="5"/>
  <c r="K158" i="5"/>
  <c r="M158" i="5"/>
  <c r="O158" i="5"/>
  <c r="S158" i="5"/>
  <c r="I159" i="5"/>
  <c r="K159" i="5"/>
  <c r="M159" i="5"/>
  <c r="O159" i="5"/>
  <c r="S159" i="5"/>
  <c r="I160" i="5"/>
  <c r="K160" i="5"/>
  <c r="M160" i="5"/>
  <c r="O160" i="5"/>
  <c r="S160" i="5"/>
  <c r="I161" i="5"/>
  <c r="K161" i="5"/>
  <c r="M161" i="5"/>
  <c r="O161" i="5"/>
  <c r="S161" i="5"/>
  <c r="I162" i="5"/>
  <c r="K162" i="5"/>
  <c r="M162" i="5"/>
  <c r="O162" i="5"/>
  <c r="S162" i="5"/>
  <c r="I163" i="5"/>
  <c r="K163" i="5"/>
  <c r="M163" i="5"/>
  <c r="O163" i="5"/>
  <c r="S163" i="5"/>
  <c r="I164" i="5"/>
  <c r="K164" i="5"/>
  <c r="M164" i="5"/>
  <c r="O164" i="5"/>
  <c r="S164" i="5"/>
  <c r="I130" i="5"/>
  <c r="K130" i="5"/>
  <c r="M130" i="5"/>
  <c r="O130" i="5"/>
  <c r="S130" i="5"/>
  <c r="I119" i="5"/>
  <c r="K119" i="5"/>
  <c r="M119" i="5"/>
  <c r="O119" i="5"/>
  <c r="S119" i="5"/>
  <c r="I121" i="5"/>
  <c r="K121" i="5"/>
  <c r="M121" i="5"/>
  <c r="O121" i="5"/>
  <c r="S121" i="5"/>
  <c r="I122" i="5"/>
  <c r="K122" i="5"/>
  <c r="M122" i="5"/>
  <c r="O122" i="5"/>
  <c r="S122" i="5"/>
  <c r="I100" i="5"/>
  <c r="K100" i="5"/>
  <c r="M100" i="5"/>
  <c r="O100" i="5"/>
  <c r="S100" i="5"/>
  <c r="I101" i="5"/>
  <c r="K101" i="5"/>
  <c r="M101" i="5"/>
  <c r="O101" i="5"/>
  <c r="S101" i="5"/>
  <c r="I102" i="5"/>
  <c r="K102" i="5"/>
  <c r="M102" i="5"/>
  <c r="O102" i="5"/>
  <c r="S102" i="5"/>
  <c r="I103" i="5"/>
  <c r="K103" i="5"/>
  <c r="M103" i="5"/>
  <c r="O103" i="5"/>
  <c r="S103" i="5"/>
  <c r="I104" i="5"/>
  <c r="K104" i="5"/>
  <c r="M104" i="5"/>
  <c r="O104" i="5"/>
  <c r="S104" i="5"/>
  <c r="I112" i="5"/>
  <c r="K112" i="5"/>
  <c r="M112" i="5"/>
  <c r="O112" i="5"/>
  <c r="S112" i="5"/>
  <c r="I113" i="5"/>
  <c r="K113" i="5"/>
  <c r="M113" i="5"/>
  <c r="O113" i="5"/>
  <c r="S113" i="5"/>
  <c r="I114" i="5"/>
  <c r="K114" i="5"/>
  <c r="M114" i="5"/>
  <c r="O114" i="5"/>
  <c r="S114" i="5"/>
  <c r="I115" i="5"/>
  <c r="K115" i="5"/>
  <c r="M115" i="5"/>
  <c r="O115" i="5"/>
  <c r="S115" i="5"/>
  <c r="I116" i="5"/>
  <c r="K116" i="5"/>
  <c r="M116" i="5"/>
  <c r="O116" i="5"/>
  <c r="S116" i="5"/>
  <c r="I117" i="5"/>
  <c r="K117" i="5"/>
  <c r="M117" i="5"/>
  <c r="O117" i="5"/>
  <c r="S117" i="5"/>
  <c r="I96" i="5"/>
  <c r="K96" i="5"/>
  <c r="M96" i="5"/>
  <c r="O96" i="5"/>
  <c r="S96" i="5"/>
  <c r="I97" i="5"/>
  <c r="K97" i="5"/>
  <c r="M97" i="5"/>
  <c r="O97" i="5"/>
  <c r="S97" i="5"/>
  <c r="I98" i="5"/>
  <c r="K98" i="5"/>
  <c r="M98" i="5"/>
  <c r="O98" i="5"/>
  <c r="S98" i="5"/>
  <c r="I87" i="5"/>
  <c r="K87" i="5"/>
  <c r="M87" i="5"/>
  <c r="O87" i="5"/>
  <c r="S87" i="5"/>
  <c r="I88" i="5"/>
  <c r="K88" i="5"/>
  <c r="M88" i="5"/>
  <c r="O88" i="5"/>
  <c r="S88" i="5"/>
  <c r="I79" i="5"/>
  <c r="K79" i="5"/>
  <c r="M79" i="5"/>
  <c r="O79" i="5"/>
  <c r="S79" i="5"/>
  <c r="I80" i="5"/>
  <c r="K80" i="5"/>
  <c r="M80" i="5"/>
  <c r="O80" i="5"/>
  <c r="S80" i="5"/>
  <c r="I81" i="5"/>
  <c r="K81" i="5"/>
  <c r="M81" i="5"/>
  <c r="O81" i="5"/>
  <c r="S81" i="5"/>
  <c r="I35" i="5"/>
  <c r="K35" i="5"/>
  <c r="M35" i="5"/>
  <c r="O35" i="5"/>
  <c r="S35" i="5"/>
  <c r="I18" i="5"/>
  <c r="K18" i="5"/>
  <c r="M18" i="5"/>
  <c r="O18" i="5"/>
  <c r="S18" i="5"/>
  <c r="I19" i="5"/>
  <c r="K19" i="5"/>
  <c r="M19" i="5"/>
  <c r="O19" i="5"/>
  <c r="S19" i="5"/>
  <c r="O165" i="5"/>
  <c r="O266" i="5" s="1"/>
  <c r="O129" i="5"/>
  <c r="I129" i="5"/>
  <c r="G118" i="8" l="1"/>
  <c r="D118" i="8" s="1"/>
  <c r="D118" i="6"/>
  <c r="D82" i="6"/>
  <c r="D48" i="6" s="1"/>
  <c r="I48" i="6"/>
  <c r="I260" i="6" s="1"/>
  <c r="G85" i="6"/>
  <c r="I85" i="6"/>
  <c r="G266" i="6"/>
  <c r="G165" i="8"/>
  <c r="D165" i="6"/>
  <c r="D266" i="6" s="1"/>
  <c r="G269" i="6"/>
  <c r="D180" i="6"/>
  <c r="D269" i="6" s="1"/>
  <c r="G180" i="8"/>
  <c r="K85" i="6"/>
  <c r="K84" i="6" s="1"/>
  <c r="M84" i="6"/>
  <c r="M265" i="6"/>
  <c r="K265" i="6"/>
  <c r="I84" i="6"/>
  <c r="I265" i="6"/>
  <c r="S84" i="6"/>
  <c r="S265" i="6"/>
  <c r="D129" i="6"/>
  <c r="O84" i="6"/>
  <c r="O265" i="6"/>
  <c r="K129" i="5"/>
  <c r="K15" i="8"/>
  <c r="K259" i="8" s="1"/>
  <c r="K260" i="8"/>
  <c r="I15" i="8"/>
  <c r="I259" i="8" s="1"/>
  <c r="I260" i="8"/>
  <c r="O15" i="8"/>
  <c r="O259" i="8" s="1"/>
  <c r="O260" i="8"/>
  <c r="M15" i="8"/>
  <c r="M259" i="8" s="1"/>
  <c r="M260" i="8"/>
  <c r="D18" i="5"/>
  <c r="D79" i="5"/>
  <c r="I78" i="5"/>
  <c r="I48" i="5" s="1"/>
  <c r="D19" i="5"/>
  <c r="I262" i="5"/>
  <c r="I260" i="5" s="1"/>
  <c r="M32" i="5"/>
  <c r="M31" i="5" s="1"/>
  <c r="D80" i="5"/>
  <c r="K78" i="5"/>
  <c r="M86" i="5"/>
  <c r="D97" i="5"/>
  <c r="K89" i="5"/>
  <c r="D115" i="5"/>
  <c r="D104" i="5"/>
  <c r="S99" i="5"/>
  <c r="D100" i="5"/>
  <c r="O118" i="5"/>
  <c r="D130" i="5"/>
  <c r="D161" i="5"/>
  <c r="D157" i="5"/>
  <c r="D138" i="5"/>
  <c r="M135" i="5"/>
  <c r="D166" i="5"/>
  <c r="M168" i="5"/>
  <c r="M267" i="5" s="1"/>
  <c r="D178" i="5"/>
  <c r="D185" i="5"/>
  <c r="D181" i="5"/>
  <c r="D200" i="5"/>
  <c r="D196" i="5"/>
  <c r="D192" i="5"/>
  <c r="I187" i="5"/>
  <c r="I271" i="5" s="1"/>
  <c r="D188" i="5"/>
  <c r="D219" i="5"/>
  <c r="D215" i="5"/>
  <c r="D211" i="5"/>
  <c r="S206" i="5"/>
  <c r="S272" i="5" s="1"/>
  <c r="I206" i="5"/>
  <c r="I272" i="5" s="1"/>
  <c r="D207" i="5"/>
  <c r="D237" i="5"/>
  <c r="D233" i="5"/>
  <c r="D229" i="5"/>
  <c r="D225" i="5"/>
  <c r="K223" i="5"/>
  <c r="K273" i="5" s="1"/>
  <c r="D256" i="5"/>
  <c r="D252" i="5"/>
  <c r="D248" i="5"/>
  <c r="D244" i="5"/>
  <c r="M241" i="5"/>
  <c r="M274" i="5" s="1"/>
  <c r="S187" i="5"/>
  <c r="S271" i="5" s="1"/>
  <c r="S78" i="5"/>
  <c r="S48" i="5" s="1"/>
  <c r="K262" i="5"/>
  <c r="K260" i="5" s="1"/>
  <c r="O32" i="5"/>
  <c r="O31" i="5" s="1"/>
  <c r="D81" i="5"/>
  <c r="M78" i="5"/>
  <c r="M48" i="5" s="1"/>
  <c r="O86" i="5"/>
  <c r="D98" i="5"/>
  <c r="M89" i="5"/>
  <c r="D116" i="5"/>
  <c r="D112" i="5"/>
  <c r="D101" i="5"/>
  <c r="K99" i="5"/>
  <c r="S118" i="5"/>
  <c r="D119" i="5"/>
  <c r="D162" i="5"/>
  <c r="D158" i="5"/>
  <c r="D139" i="5"/>
  <c r="O135" i="5"/>
  <c r="D167" i="5"/>
  <c r="O168" i="5"/>
  <c r="O267" i="5" s="1"/>
  <c r="D179" i="5"/>
  <c r="D175" i="5"/>
  <c r="D182" i="5"/>
  <c r="D201" i="5"/>
  <c r="D197" i="5"/>
  <c r="D193" i="5"/>
  <c r="D189" i="5"/>
  <c r="K187" i="5"/>
  <c r="K271" i="5" s="1"/>
  <c r="D220" i="5"/>
  <c r="D216" i="5"/>
  <c r="D212" i="5"/>
  <c r="D208" i="5"/>
  <c r="K206" i="5"/>
  <c r="K272" i="5" s="1"/>
  <c r="D238" i="5"/>
  <c r="D234" i="5"/>
  <c r="D230" i="5"/>
  <c r="D226" i="5"/>
  <c r="M223" i="5"/>
  <c r="M273" i="5" s="1"/>
  <c r="D257" i="5"/>
  <c r="D253" i="5"/>
  <c r="D249" i="5"/>
  <c r="D245" i="5"/>
  <c r="O241" i="5"/>
  <c r="O274" i="5" s="1"/>
  <c r="M262" i="5"/>
  <c r="M260" i="5" s="1"/>
  <c r="D35" i="5"/>
  <c r="D32" i="5" s="1"/>
  <c r="D31" i="5" s="1"/>
  <c r="I32" i="5"/>
  <c r="I31" i="5" s="1"/>
  <c r="O78" i="5"/>
  <c r="O48" i="5" s="1"/>
  <c r="S86" i="5"/>
  <c r="D87" i="5"/>
  <c r="O89" i="5"/>
  <c r="D117" i="5"/>
  <c r="D113" i="5"/>
  <c r="D102" i="5"/>
  <c r="M99" i="5"/>
  <c r="D121" i="5"/>
  <c r="K118" i="5"/>
  <c r="D163" i="5"/>
  <c r="D159" i="5"/>
  <c r="D155" i="5"/>
  <c r="S135" i="5"/>
  <c r="D136" i="5"/>
  <c r="I135" i="5"/>
  <c r="S168" i="5"/>
  <c r="S267" i="5" s="1"/>
  <c r="I168" i="5"/>
  <c r="I267" i="5" s="1"/>
  <c r="D169" i="5"/>
  <c r="D176" i="5"/>
  <c r="D183" i="5"/>
  <c r="D202" i="5"/>
  <c r="D198" i="5"/>
  <c r="D194" i="5"/>
  <c r="D190" i="5"/>
  <c r="M187" i="5"/>
  <c r="M271" i="5" s="1"/>
  <c r="D221" i="5"/>
  <c r="D217" i="5"/>
  <c r="D213" i="5"/>
  <c r="D209" i="5"/>
  <c r="M206" i="5"/>
  <c r="M272" i="5" s="1"/>
  <c r="D239" i="5"/>
  <c r="D235" i="5"/>
  <c r="D231" i="5"/>
  <c r="D227" i="5"/>
  <c r="O223" i="5"/>
  <c r="O273" i="5" s="1"/>
  <c r="D258" i="5"/>
  <c r="D254" i="5"/>
  <c r="D250" i="5"/>
  <c r="D246" i="5"/>
  <c r="S241" i="5"/>
  <c r="S274" i="5" s="1"/>
  <c r="I241" i="5"/>
  <c r="I274" i="5" s="1"/>
  <c r="D242" i="5"/>
  <c r="S32" i="5"/>
  <c r="S31" i="5" s="1"/>
  <c r="D88" i="5"/>
  <c r="K86" i="5"/>
  <c r="S89" i="5"/>
  <c r="D96" i="5"/>
  <c r="D89" i="5" s="1"/>
  <c r="I89" i="5"/>
  <c r="D114" i="5"/>
  <c r="D103" i="5"/>
  <c r="O99" i="5"/>
  <c r="D122" i="5"/>
  <c r="M118" i="5"/>
  <c r="D164" i="5"/>
  <c r="D160" i="5"/>
  <c r="D156" i="5"/>
  <c r="D137" i="5"/>
  <c r="K135" i="5"/>
  <c r="D173" i="5"/>
  <c r="K168" i="5"/>
  <c r="K267" i="5" s="1"/>
  <c r="D177" i="5"/>
  <c r="D184" i="5"/>
  <c r="D203" i="5"/>
  <c r="D199" i="5"/>
  <c r="D195" i="5"/>
  <c r="D191" i="5"/>
  <c r="O187" i="5"/>
  <c r="O271" i="5" s="1"/>
  <c r="D222" i="5"/>
  <c r="D218" i="5"/>
  <c r="D214" i="5"/>
  <c r="D210" i="5"/>
  <c r="O206" i="5"/>
  <c r="O272" i="5" s="1"/>
  <c r="D240" i="5"/>
  <c r="D236" i="5"/>
  <c r="D232" i="5"/>
  <c r="D228" i="5"/>
  <c r="S223" i="5"/>
  <c r="S273" i="5" s="1"/>
  <c r="I223" i="5"/>
  <c r="I273" i="5" s="1"/>
  <c r="D224" i="5"/>
  <c r="D255" i="5"/>
  <c r="D251" i="5"/>
  <c r="D247" i="5"/>
  <c r="D243" i="5"/>
  <c r="K241" i="5"/>
  <c r="K274" i="5" s="1"/>
  <c r="S129" i="5"/>
  <c r="S165" i="5"/>
  <c r="S266" i="5" s="1"/>
  <c r="I86" i="5"/>
  <c r="M129" i="5"/>
  <c r="I118" i="5"/>
  <c r="S174" i="5"/>
  <c r="S268" i="5" s="1"/>
  <c r="I174" i="5"/>
  <c r="I180" i="5"/>
  <c r="S180" i="5"/>
  <c r="S269" i="5" s="1"/>
  <c r="I99" i="5"/>
  <c r="I165" i="5"/>
  <c r="O174" i="5"/>
  <c r="O268" i="5" s="1"/>
  <c r="O180" i="5"/>
  <c r="O269" i="5" s="1"/>
  <c r="D16" i="6"/>
  <c r="D260" i="6" s="1"/>
  <c r="G48" i="6"/>
  <c r="G260" i="6" s="1"/>
  <c r="K165" i="5"/>
  <c r="K266" i="5" s="1"/>
  <c r="M165" i="5"/>
  <c r="M266" i="5" s="1"/>
  <c r="K180" i="5"/>
  <c r="K269" i="5" s="1"/>
  <c r="M174" i="5"/>
  <c r="M268" i="5" s="1"/>
  <c r="K32" i="5"/>
  <c r="K31" i="5" s="1"/>
  <c r="K48" i="5"/>
  <c r="K174" i="5"/>
  <c r="K268" i="5" s="1"/>
  <c r="G265" i="6"/>
  <c r="G31" i="6"/>
  <c r="M180" i="5"/>
  <c r="M269" i="5" s="1"/>
  <c r="G269" i="8" l="1"/>
  <c r="D180" i="8"/>
  <c r="D269" i="8" s="1"/>
  <c r="G266" i="8"/>
  <c r="D165" i="8"/>
  <c r="D266" i="8" s="1"/>
  <c r="D85" i="6"/>
  <c r="D84" i="6"/>
  <c r="D265" i="6"/>
  <c r="I264" i="6"/>
  <c r="I47" i="6"/>
  <c r="I259" i="6" s="1"/>
  <c r="M264" i="6"/>
  <c r="M47" i="6"/>
  <c r="M259" i="6" s="1"/>
  <c r="G85" i="8"/>
  <c r="D85" i="8"/>
  <c r="O264" i="6"/>
  <c r="O47" i="6"/>
  <c r="O259" i="6" s="1"/>
  <c r="S264" i="6"/>
  <c r="S47" i="6"/>
  <c r="S259" i="6" s="1"/>
  <c r="K264" i="6"/>
  <c r="K47" i="6"/>
  <c r="K259" i="6" s="1"/>
  <c r="O262" i="5"/>
  <c r="O260" i="5" s="1"/>
  <c r="D223" i="5"/>
  <c r="D273" i="5" s="1"/>
  <c r="K85" i="5"/>
  <c r="K265" i="5" s="1"/>
  <c r="D241" i="5"/>
  <c r="D274" i="5" s="1"/>
  <c r="D118" i="5"/>
  <c r="O85" i="5"/>
  <c r="D168" i="5"/>
  <c r="D267" i="5" s="1"/>
  <c r="S85" i="5"/>
  <c r="D206" i="5"/>
  <c r="D272" i="5" s="1"/>
  <c r="D99" i="5"/>
  <c r="M85" i="5"/>
  <c r="I268" i="5"/>
  <c r="I269" i="5"/>
  <c r="D187" i="5"/>
  <c r="D271" i="5" s="1"/>
  <c r="S262" i="5"/>
  <c r="S260" i="5" s="1"/>
  <c r="I266" i="5"/>
  <c r="D135" i="5"/>
  <c r="D86" i="5"/>
  <c r="D78" i="5"/>
  <c r="D15" i="6"/>
  <c r="D16" i="8"/>
  <c r="D16" i="5"/>
  <c r="I85" i="5"/>
  <c r="G84" i="6"/>
  <c r="G264" i="6" s="1"/>
  <c r="D47" i="6" l="1"/>
  <c r="D259" i="6" s="1"/>
  <c r="D264" i="6"/>
  <c r="G265" i="8"/>
  <c r="G84" i="8"/>
  <c r="D84" i="8"/>
  <c r="D265" i="8"/>
  <c r="Q19" i="11"/>
  <c r="D15" i="8"/>
  <c r="D260" i="8"/>
  <c r="K84" i="5"/>
  <c r="K264" i="5" s="1"/>
  <c r="M84" i="5"/>
  <c r="M265" i="5"/>
  <c r="S84" i="5"/>
  <c r="S265" i="5"/>
  <c r="O84" i="5"/>
  <c r="O265" i="5"/>
  <c r="D262" i="5"/>
  <c r="I84" i="5"/>
  <c r="I265" i="5"/>
  <c r="D15" i="5"/>
  <c r="K47" i="5"/>
  <c r="K259" i="5" s="1"/>
  <c r="G47" i="6"/>
  <c r="G259" i="6" s="1"/>
  <c r="G264" i="8" l="1"/>
  <c r="G47" i="8"/>
  <c r="G259" i="8" s="1"/>
  <c r="D264" i="8"/>
  <c r="D47" i="8"/>
  <c r="D259" i="8" s="1"/>
  <c r="Q20" i="11"/>
  <c r="S264" i="5"/>
  <c r="S47" i="5"/>
  <c r="S259" i="5" s="1"/>
  <c r="I47" i="5"/>
  <c r="I259" i="5" s="1"/>
  <c r="I264" i="5"/>
  <c r="O47" i="5"/>
  <c r="O259" i="5" s="1"/>
  <c r="O264" i="5"/>
  <c r="M264" i="5"/>
  <c r="M47" i="5"/>
  <c r="M259" i="5" s="1"/>
  <c r="G135" i="4" l="1"/>
  <c r="G99" i="4"/>
  <c r="G86" i="4" l="1"/>
  <c r="S241" i="4"/>
  <c r="S274" i="4" s="1"/>
  <c r="O241" i="4"/>
  <c r="O274" i="4" s="1"/>
  <c r="M241" i="4"/>
  <c r="M274" i="4" s="1"/>
  <c r="K241" i="4"/>
  <c r="K274" i="4" s="1"/>
  <c r="I241" i="4"/>
  <c r="I274" i="4" s="1"/>
  <c r="G241" i="4"/>
  <c r="S223" i="4"/>
  <c r="S273" i="4" s="1"/>
  <c r="O223" i="4"/>
  <c r="O273" i="4" s="1"/>
  <c r="M223" i="4"/>
  <c r="M273" i="4" s="1"/>
  <c r="K223" i="4"/>
  <c r="K273" i="4" s="1"/>
  <c r="I223" i="4"/>
  <c r="I273" i="4" s="1"/>
  <c r="G223" i="4"/>
  <c r="S206" i="4"/>
  <c r="S272" i="4" s="1"/>
  <c r="O206" i="4"/>
  <c r="O272" i="4" s="1"/>
  <c r="M206" i="4"/>
  <c r="M272" i="4" s="1"/>
  <c r="K206" i="4"/>
  <c r="K272" i="4" s="1"/>
  <c r="I206" i="4"/>
  <c r="I272" i="4" s="1"/>
  <c r="G206" i="4"/>
  <c r="O187" i="4"/>
  <c r="O271" i="4" s="1"/>
  <c r="M187" i="4"/>
  <c r="M271" i="4" s="1"/>
  <c r="K187" i="4"/>
  <c r="K271" i="4" s="1"/>
  <c r="I187" i="4"/>
  <c r="I271" i="4" s="1"/>
  <c r="G187" i="4"/>
  <c r="S180" i="4"/>
  <c r="S269" i="4" s="1"/>
  <c r="O180" i="4"/>
  <c r="O269" i="4" s="1"/>
  <c r="M180" i="4"/>
  <c r="M269" i="4" s="1"/>
  <c r="K180" i="4"/>
  <c r="K269" i="4" s="1"/>
  <c r="I180" i="4"/>
  <c r="I269" i="4" s="1"/>
  <c r="G180" i="4"/>
  <c r="S174" i="4"/>
  <c r="S268" i="4" s="1"/>
  <c r="O174" i="4"/>
  <c r="O268" i="4" s="1"/>
  <c r="M174" i="4"/>
  <c r="M268" i="4" s="1"/>
  <c r="K174" i="4"/>
  <c r="K268" i="4" s="1"/>
  <c r="I174" i="4"/>
  <c r="I268" i="4" s="1"/>
  <c r="G174" i="4"/>
  <c r="S168" i="4"/>
  <c r="S267" i="4" s="1"/>
  <c r="O168" i="4"/>
  <c r="O267" i="4" s="1"/>
  <c r="M168" i="4"/>
  <c r="M267" i="4" s="1"/>
  <c r="K168" i="4"/>
  <c r="K267" i="4" s="1"/>
  <c r="I168" i="4"/>
  <c r="I267" i="4" s="1"/>
  <c r="G168" i="4"/>
  <c r="D168" i="4" s="1"/>
  <c r="D267" i="4" s="1"/>
  <c r="S165" i="4"/>
  <c r="S266" i="4" s="1"/>
  <c r="O165" i="4"/>
  <c r="O266" i="4" s="1"/>
  <c r="M165" i="4"/>
  <c r="M266" i="4" s="1"/>
  <c r="K165" i="4"/>
  <c r="K266" i="4" s="1"/>
  <c r="I165" i="4"/>
  <c r="I266" i="4" s="1"/>
  <c r="G165" i="4"/>
  <c r="S135" i="4"/>
  <c r="O135" i="4"/>
  <c r="M135" i="4"/>
  <c r="K135" i="4"/>
  <c r="I135" i="4"/>
  <c r="D135" i="4" s="1"/>
  <c r="S129" i="4"/>
  <c r="O129" i="4"/>
  <c r="M129" i="4"/>
  <c r="K129" i="4"/>
  <c r="I129" i="4"/>
  <c r="G129" i="4"/>
  <c r="S118" i="4"/>
  <c r="O118" i="4"/>
  <c r="M118" i="4"/>
  <c r="K118" i="4"/>
  <c r="I118" i="4"/>
  <c r="G118" i="4"/>
  <c r="O99" i="4"/>
  <c r="M99" i="4"/>
  <c r="K99" i="4"/>
  <c r="I99" i="4"/>
  <c r="O89" i="4"/>
  <c r="M89" i="4"/>
  <c r="O86" i="4"/>
  <c r="M86" i="4"/>
  <c r="K86" i="4"/>
  <c r="O78" i="4"/>
  <c r="M78" i="4"/>
  <c r="M262" i="4" s="1"/>
  <c r="K78" i="4"/>
  <c r="I78" i="4"/>
  <c r="G78" i="4"/>
  <c r="G55" i="4"/>
  <c r="D55" i="4" s="1"/>
  <c r="S49" i="4"/>
  <c r="S261" i="4" s="1"/>
  <c r="S260" i="4" s="1"/>
  <c r="M49" i="4"/>
  <c r="M261" i="4" s="1"/>
  <c r="M260" i="4" s="1"/>
  <c r="O36" i="4"/>
  <c r="O31" i="4" s="1"/>
  <c r="M36" i="4"/>
  <c r="M31" i="4" s="1"/>
  <c r="K36" i="4"/>
  <c r="K31" i="4" s="1"/>
  <c r="G32" i="4"/>
  <c r="S31" i="4"/>
  <c r="O20" i="4"/>
  <c r="M20" i="4"/>
  <c r="K20" i="4"/>
  <c r="G20" i="4"/>
  <c r="O16" i="4"/>
  <c r="M16" i="4"/>
  <c r="K16" i="4"/>
  <c r="S15" i="4"/>
  <c r="S241" i="1"/>
  <c r="S274" i="1" s="1"/>
  <c r="O241" i="1"/>
  <c r="O274" i="1" s="1"/>
  <c r="M241" i="1"/>
  <c r="M274" i="1" s="1"/>
  <c r="K241" i="1"/>
  <c r="K274" i="1" s="1"/>
  <c r="I241" i="1"/>
  <c r="I274" i="1" s="1"/>
  <c r="G241" i="1"/>
  <c r="D241" i="1" s="1"/>
  <c r="D274" i="1" s="1"/>
  <c r="S223" i="1"/>
  <c r="S273" i="1" s="1"/>
  <c r="O223" i="1"/>
  <c r="O273" i="1" s="1"/>
  <c r="M223" i="1"/>
  <c r="M273" i="1" s="1"/>
  <c r="K223" i="1"/>
  <c r="K273" i="1" s="1"/>
  <c r="I223" i="1"/>
  <c r="I273" i="1" s="1"/>
  <c r="G223" i="1"/>
  <c r="S206" i="1"/>
  <c r="S272" i="1" s="1"/>
  <c r="O206" i="1"/>
  <c r="O272" i="1" s="1"/>
  <c r="M206" i="1"/>
  <c r="M272" i="1" s="1"/>
  <c r="K206" i="1"/>
  <c r="K272" i="1" s="1"/>
  <c r="I206" i="1"/>
  <c r="I272" i="1" s="1"/>
  <c r="G206" i="1"/>
  <c r="O187" i="1"/>
  <c r="O271" i="1" s="1"/>
  <c r="M187" i="1"/>
  <c r="M271" i="1" s="1"/>
  <c r="K187" i="1"/>
  <c r="K271" i="1" s="1"/>
  <c r="I187" i="1"/>
  <c r="I271" i="1" s="1"/>
  <c r="G187" i="1"/>
  <c r="S180" i="1"/>
  <c r="S269" i="1" s="1"/>
  <c r="O180" i="1"/>
  <c r="O269" i="1" s="1"/>
  <c r="M180" i="1"/>
  <c r="M269" i="1" s="1"/>
  <c r="K180" i="1"/>
  <c r="K269" i="1" s="1"/>
  <c r="I180" i="1"/>
  <c r="I269" i="1" s="1"/>
  <c r="G180" i="1"/>
  <c r="S174" i="1"/>
  <c r="S268" i="1" s="1"/>
  <c r="O174" i="1"/>
  <c r="O268" i="1" s="1"/>
  <c r="M174" i="1"/>
  <c r="M268" i="1" s="1"/>
  <c r="K174" i="1"/>
  <c r="K268" i="1" s="1"/>
  <c r="I174" i="1"/>
  <c r="I268" i="1" s="1"/>
  <c r="G174" i="1"/>
  <c r="S168" i="1"/>
  <c r="S267" i="1" s="1"/>
  <c r="O168" i="1"/>
  <c r="O267" i="1" s="1"/>
  <c r="M168" i="1"/>
  <c r="M267" i="1" s="1"/>
  <c r="K168" i="1"/>
  <c r="K267" i="1" s="1"/>
  <c r="I168" i="1"/>
  <c r="I267" i="1" s="1"/>
  <c r="G168" i="1"/>
  <c r="S165" i="1"/>
  <c r="S266" i="1" s="1"/>
  <c r="O165" i="1"/>
  <c r="O266" i="1" s="1"/>
  <c r="M165" i="1"/>
  <c r="M266" i="1" s="1"/>
  <c r="K165" i="1"/>
  <c r="K266" i="1" s="1"/>
  <c r="I165" i="1"/>
  <c r="I266" i="1" s="1"/>
  <c r="G165" i="1"/>
  <c r="S135" i="1"/>
  <c r="O135" i="1"/>
  <c r="M135" i="1"/>
  <c r="K135" i="1"/>
  <c r="I135" i="1"/>
  <c r="G135" i="1"/>
  <c r="S129" i="1"/>
  <c r="O129" i="1"/>
  <c r="M129" i="1"/>
  <c r="K129" i="1"/>
  <c r="I129" i="1"/>
  <c r="G129" i="1"/>
  <c r="S118" i="1"/>
  <c r="O118" i="1"/>
  <c r="M118" i="1"/>
  <c r="K118" i="1"/>
  <c r="I118" i="1"/>
  <c r="G118" i="1"/>
  <c r="O99" i="1"/>
  <c r="M99" i="1"/>
  <c r="K99" i="1"/>
  <c r="I99" i="1"/>
  <c r="G99" i="1"/>
  <c r="O89" i="1"/>
  <c r="M89" i="1"/>
  <c r="K89" i="1"/>
  <c r="I89" i="1"/>
  <c r="G89" i="1"/>
  <c r="O86" i="1"/>
  <c r="M86" i="1"/>
  <c r="K86" i="1"/>
  <c r="G86" i="1"/>
  <c r="O78" i="1"/>
  <c r="M78" i="1"/>
  <c r="M262" i="1" s="1"/>
  <c r="K78" i="1"/>
  <c r="I78" i="1"/>
  <c r="G78" i="1"/>
  <c r="G55" i="1"/>
  <c r="S49" i="1"/>
  <c r="M49" i="1"/>
  <c r="M261" i="1" s="1"/>
  <c r="M260" i="1" s="1"/>
  <c r="O36" i="1"/>
  <c r="O31" i="1" s="1"/>
  <c r="M36" i="1"/>
  <c r="M31" i="1" s="1"/>
  <c r="G36" i="1"/>
  <c r="D36" i="1" s="1"/>
  <c r="G32" i="1"/>
  <c r="D32" i="1" s="1"/>
  <c r="S31" i="1"/>
  <c r="O20" i="1"/>
  <c r="M20" i="1"/>
  <c r="K20" i="1"/>
  <c r="I20" i="1"/>
  <c r="G20" i="1"/>
  <c r="D20" i="1" s="1"/>
  <c r="D15" i="1" s="1"/>
  <c r="O16" i="1"/>
  <c r="O15" i="1" s="1"/>
  <c r="M16" i="1"/>
  <c r="K16" i="1"/>
  <c r="I16" i="1"/>
  <c r="G16" i="1"/>
  <c r="G15" i="1" s="1"/>
  <c r="M15" i="1" l="1"/>
  <c r="G262" i="1"/>
  <c r="D78" i="1"/>
  <c r="D262" i="1" s="1"/>
  <c r="O262" i="1"/>
  <c r="O260" i="1" s="1"/>
  <c r="O48" i="1"/>
  <c r="D223" i="1"/>
  <c r="D273" i="1" s="1"/>
  <c r="D20" i="4"/>
  <c r="D78" i="4"/>
  <c r="D262" i="4" s="1"/>
  <c r="O262" i="4"/>
  <c r="O260" i="4" s="1"/>
  <c r="O48" i="4"/>
  <c r="D206" i="4"/>
  <c r="D272" i="4" s="1"/>
  <c r="G274" i="4"/>
  <c r="D241" i="4"/>
  <c r="D274" i="4" s="1"/>
  <c r="I262" i="1"/>
  <c r="I260" i="1" s="1"/>
  <c r="I48" i="1"/>
  <c r="D89" i="1"/>
  <c r="G268" i="1"/>
  <c r="G174" i="5"/>
  <c r="D174" i="1"/>
  <c r="D268" i="1" s="1"/>
  <c r="G271" i="1"/>
  <c r="D187" i="1"/>
  <c r="D271" i="1" s="1"/>
  <c r="K15" i="4"/>
  <c r="I16" i="4"/>
  <c r="I262" i="4"/>
  <c r="I260" i="4" s="1"/>
  <c r="I48" i="4"/>
  <c r="G269" i="4"/>
  <c r="D180" i="4"/>
  <c r="D269" i="4" s="1"/>
  <c r="S261" i="1"/>
  <c r="S260" i="1" s="1"/>
  <c r="S48" i="1"/>
  <c r="S47" i="1" s="1"/>
  <c r="S259" i="1" s="1"/>
  <c r="K262" i="1"/>
  <c r="K260" i="1" s="1"/>
  <c r="K48" i="1"/>
  <c r="G272" i="1"/>
  <c r="D206" i="1"/>
  <c r="D272" i="1" s="1"/>
  <c r="M15" i="4"/>
  <c r="J16" i="4"/>
  <c r="K262" i="4"/>
  <c r="K260" i="4" s="1"/>
  <c r="K48" i="4"/>
  <c r="D99" i="4"/>
  <c r="G273" i="4"/>
  <c r="D223" i="4"/>
  <c r="D273" i="4" s="1"/>
  <c r="D86" i="4"/>
  <c r="G55" i="5"/>
  <c r="D55" i="1"/>
  <c r="G49" i="1"/>
  <c r="D49" i="1" s="1"/>
  <c r="D261" i="1" s="1"/>
  <c r="D260" i="1" s="1"/>
  <c r="G180" i="5"/>
  <c r="D180" i="1"/>
  <c r="D269" i="1" s="1"/>
  <c r="G266" i="4"/>
  <c r="D165" i="4"/>
  <c r="D266" i="4" s="1"/>
  <c r="G268" i="4"/>
  <c r="D174" i="4"/>
  <c r="D268" i="4" s="1"/>
  <c r="D187" i="4"/>
  <c r="D271" i="4" s="1"/>
  <c r="D165" i="1"/>
  <c r="D266" i="1" s="1"/>
  <c r="G165" i="5"/>
  <c r="D86" i="1"/>
  <c r="D89" i="4"/>
  <c r="D135" i="1"/>
  <c r="G267" i="1"/>
  <c r="D168" i="1"/>
  <c r="D267" i="1" s="1"/>
  <c r="D129" i="4"/>
  <c r="I85" i="4"/>
  <c r="D118" i="4"/>
  <c r="D129" i="1"/>
  <c r="G129" i="5"/>
  <c r="I85" i="1"/>
  <c r="I265" i="1" s="1"/>
  <c r="D118" i="1"/>
  <c r="K85" i="1"/>
  <c r="K265" i="1" s="1"/>
  <c r="D99" i="1"/>
  <c r="O85" i="1"/>
  <c r="O265" i="1" s="1"/>
  <c r="D32" i="4"/>
  <c r="M85" i="1"/>
  <c r="M265" i="1" s="1"/>
  <c r="M85" i="4"/>
  <c r="O85" i="4"/>
  <c r="G85" i="4"/>
  <c r="G84" i="4" s="1"/>
  <c r="G49" i="4"/>
  <c r="K85" i="4"/>
  <c r="M48" i="1"/>
  <c r="S47" i="4"/>
  <c r="S259" i="4" s="1"/>
  <c r="G262" i="4"/>
  <c r="G48" i="1"/>
  <c r="D48" i="1" s="1"/>
  <c r="K15" i="1"/>
  <c r="I15" i="1"/>
  <c r="G31" i="1"/>
  <c r="D31" i="1" s="1"/>
  <c r="G267" i="4"/>
  <c r="G85" i="1"/>
  <c r="O15" i="4"/>
  <c r="G261" i="4"/>
  <c r="G271" i="4"/>
  <c r="G272" i="4"/>
  <c r="M48" i="4"/>
  <c r="G261" i="1"/>
  <c r="G269" i="1"/>
  <c r="G274" i="1"/>
  <c r="G266" i="1"/>
  <c r="G273" i="1"/>
  <c r="G48" i="4" l="1"/>
  <c r="D49" i="4"/>
  <c r="D261" i="4" s="1"/>
  <c r="D260" i="4" s="1"/>
  <c r="H16" i="4"/>
  <c r="J15" i="4"/>
  <c r="J259" i="4" s="1"/>
  <c r="I15" i="4"/>
  <c r="G16" i="4"/>
  <c r="D55" i="5"/>
  <c r="G49" i="5"/>
  <c r="G268" i="5"/>
  <c r="D174" i="5"/>
  <c r="D268" i="5" s="1"/>
  <c r="G269" i="5"/>
  <c r="D180" i="5"/>
  <c r="D269" i="5" s="1"/>
  <c r="D48" i="4"/>
  <c r="G266" i="5"/>
  <c r="D165" i="5"/>
  <c r="D266" i="5" s="1"/>
  <c r="O84" i="1"/>
  <c r="O47" i="1" s="1"/>
  <c r="O259" i="1" s="1"/>
  <c r="K84" i="4"/>
  <c r="K264" i="4" s="1"/>
  <c r="K265" i="4"/>
  <c r="I265" i="4"/>
  <c r="I84" i="4"/>
  <c r="I264" i="4" s="1"/>
  <c r="O84" i="4"/>
  <c r="O265" i="4"/>
  <c r="M84" i="4"/>
  <c r="M264" i="4" s="1"/>
  <c r="M265" i="4"/>
  <c r="G85" i="5"/>
  <c r="D129" i="5"/>
  <c r="D85" i="5" s="1"/>
  <c r="K84" i="1"/>
  <c r="G84" i="1"/>
  <c r="G264" i="1" s="1"/>
  <c r="D85" i="1"/>
  <c r="D265" i="1" s="1"/>
  <c r="D85" i="4"/>
  <c r="D265" i="4" s="1"/>
  <c r="M84" i="1"/>
  <c r="M47" i="4"/>
  <c r="M259" i="4" s="1"/>
  <c r="G36" i="4"/>
  <c r="D36" i="4" s="1"/>
  <c r="G265" i="1"/>
  <c r="G260" i="4"/>
  <c r="G265" i="4"/>
  <c r="I84" i="1"/>
  <c r="I264" i="1" s="1"/>
  <c r="G260" i="1"/>
  <c r="G48" i="5" l="1"/>
  <c r="G261" i="5"/>
  <c r="G260" i="5" s="1"/>
  <c r="D49" i="5"/>
  <c r="E16" i="4"/>
  <c r="E15" i="4" s="1"/>
  <c r="E259" i="4" s="1"/>
  <c r="H15" i="4"/>
  <c r="H259" i="4" s="1"/>
  <c r="G15" i="4"/>
  <c r="D16" i="4"/>
  <c r="D15" i="4" s="1"/>
  <c r="K47" i="4"/>
  <c r="K259" i="4" s="1"/>
  <c r="O264" i="1"/>
  <c r="G47" i="1"/>
  <c r="G259" i="1" s="1"/>
  <c r="O264" i="4"/>
  <c r="O47" i="4"/>
  <c r="O259" i="4" s="1"/>
  <c r="G265" i="5"/>
  <c r="G84" i="5"/>
  <c r="D84" i="5"/>
  <c r="D265" i="5"/>
  <c r="K264" i="1"/>
  <c r="K47" i="1"/>
  <c r="K259" i="1" s="1"/>
  <c r="M47" i="1"/>
  <c r="M259" i="1" s="1"/>
  <c r="M264" i="1"/>
  <c r="D84" i="4"/>
  <c r="D264" i="4" s="1"/>
  <c r="I47" i="4"/>
  <c r="D84" i="1"/>
  <c r="D264" i="1" s="1"/>
  <c r="I47" i="1"/>
  <c r="G31" i="4"/>
  <c r="D31" i="4" s="1"/>
  <c r="G264" i="4"/>
  <c r="G47" i="4"/>
  <c r="D261" i="5" l="1"/>
  <c r="D260" i="5" s="1"/>
  <c r="D48" i="5"/>
  <c r="D47" i="4"/>
  <c r="D259" i="4" s="1"/>
  <c r="I259" i="4"/>
  <c r="G47" i="5"/>
  <c r="G259" i="5" s="1"/>
  <c r="G264" i="5"/>
  <c r="D264" i="5"/>
  <c r="D47" i="5"/>
  <c r="D259" i="5" s="1"/>
  <c r="D47" i="1"/>
  <c r="D259" i="1" s="1"/>
  <c r="I259" i="1"/>
  <c r="G259" i="4"/>
</calcChain>
</file>

<file path=xl/sharedStrings.xml><?xml version="1.0" encoding="utf-8"?>
<sst xmlns="http://schemas.openxmlformats.org/spreadsheetml/2006/main" count="4262" uniqueCount="395">
  <si>
    <t>Утверждаю:</t>
  </si>
  <si>
    <t>Начальник управления</t>
  </si>
  <si>
    <t>___________ О.Я. Тен</t>
  </si>
  <si>
    <t>СВОД по муниципальным бюджетным дошкольным учреждениям</t>
  </si>
  <si>
    <t>№ п/п</t>
  </si>
  <si>
    <t>Наименование показателя</t>
  </si>
  <si>
    <t>КОСГУ</t>
  </si>
  <si>
    <t>ВСЕГО</t>
  </si>
  <si>
    <t>из них:</t>
  </si>
  <si>
    <t>Муниципальный бюджет</t>
  </si>
  <si>
    <t xml:space="preserve">Вышестоящий бюджет </t>
  </si>
  <si>
    <t>Внебюджетные источники</t>
  </si>
  <si>
    <t>реализация основных общеобразовательных программ  (1608)</t>
  </si>
  <si>
    <t>реализация общедоступного и бесплатного дошкольного образования  (1625)</t>
  </si>
  <si>
    <t>обеспечение мер социальной поддержки  (1623)</t>
  </si>
  <si>
    <t>компенсация на питание школьников (1612)</t>
  </si>
  <si>
    <t>Остаток средств на 01.01.2016, в том числе:</t>
  </si>
  <si>
    <t>1.</t>
  </si>
  <si>
    <t xml:space="preserve">Субсидия на финансовое обеспечение муниципального задания </t>
  </si>
  <si>
    <t>1.1.</t>
  </si>
  <si>
    <t>Нормативные затраты на оказание муниципальных услуг</t>
  </si>
  <si>
    <t>1.2.</t>
  </si>
  <si>
    <t>Затраты на уплату налогов</t>
  </si>
  <si>
    <t>1.3.</t>
  </si>
  <si>
    <t>Затраты на присмотр и уход льготной категории детей</t>
  </si>
  <si>
    <t>2.</t>
  </si>
  <si>
    <t xml:space="preserve">Субсидия на иные цели </t>
  </si>
  <si>
    <t>2.1.</t>
  </si>
  <si>
    <t xml:space="preserve">"Обеспечение качества и доступности образования на  2014-2020 годы" (Постановление администрации города от 28.10.2013 № 4237) </t>
  </si>
  <si>
    <t>2.2.</t>
  </si>
  <si>
    <t xml:space="preserve">"Доступная среда" на 2014-2020 годы" (Постановление администрации города от 31.07.2014 № 3192) </t>
  </si>
  <si>
    <t>2.3.</t>
  </si>
  <si>
    <r>
      <t xml:space="preserve">"Энергосбережение и повышение энергетической эффективности в городе Хабаровске на 2016-2020 годы" </t>
    </r>
    <r>
      <rPr>
        <sz val="11"/>
        <rFont val="Times New Roman"/>
        <family val="1"/>
        <charset val="204"/>
      </rPr>
      <t>(Постановление администрации города от 10.10.2014 № 4368)</t>
    </r>
  </si>
  <si>
    <t>2.4.</t>
  </si>
  <si>
    <t>"Молодежь Хабаровска" (Постановление администрации города от 20.11.2013 № 4929)</t>
  </si>
  <si>
    <t>2.5.</t>
  </si>
  <si>
    <t>"Улучшение экологического состояния города Хабаровска на 2014-2018 годы" (Постановление администрации города  от 01.11.2013 № 4440)</t>
  </si>
  <si>
    <t xml:space="preserve">Бюджетные инвестиции </t>
  </si>
  <si>
    <t>Платные услуги</t>
  </si>
  <si>
    <t>Поступления от сдачи имущества в аренду</t>
  </si>
  <si>
    <t>Родительская плата</t>
  </si>
  <si>
    <t>Добровольные пожертвования и целевые взносы</t>
  </si>
  <si>
    <t>Поступления всего, в том числе:</t>
  </si>
  <si>
    <t xml:space="preserve">"Обеспечение качества и доступности образования на  2014-2020 годы" (Постановление администрации города от 28.10.2013 №4237) </t>
  </si>
  <si>
    <t>"Доступная среда" на 2014-2020 годы" (Постановление администрации города от 31.07.2014 № 3192)</t>
  </si>
  <si>
    <t>Выплаты всего, в том числе:</t>
  </si>
  <si>
    <t>1.1.1.</t>
  </si>
  <si>
    <t xml:space="preserve">Заработная плата </t>
  </si>
  <si>
    <t>1.1.2.</t>
  </si>
  <si>
    <t xml:space="preserve">Прочие выплаты </t>
  </si>
  <si>
    <t>1.1.3.</t>
  </si>
  <si>
    <t>Начисления на выплаты по оплате труда</t>
  </si>
  <si>
    <t>1.1.4.</t>
  </si>
  <si>
    <t>Услуги связи</t>
  </si>
  <si>
    <t>1.1.5.</t>
  </si>
  <si>
    <t>Транспортные услуги</t>
  </si>
  <si>
    <t>1.1.6.</t>
  </si>
  <si>
    <t>Коммунальные услуги :</t>
  </si>
  <si>
    <t xml:space="preserve">Тепло </t>
  </si>
  <si>
    <t xml:space="preserve">Свет </t>
  </si>
  <si>
    <t xml:space="preserve">Вода </t>
  </si>
  <si>
    <t>1.1.7.</t>
  </si>
  <si>
    <t>Арендная плата за пользование имущество</t>
  </si>
  <si>
    <t>1.1.8.</t>
  </si>
  <si>
    <t>Работы, услуги по содержанию имущества</t>
  </si>
  <si>
    <t>1.1.9.</t>
  </si>
  <si>
    <t>Прочие работы, услуги</t>
  </si>
  <si>
    <t>1.1.10.</t>
  </si>
  <si>
    <t>Другие расходы</t>
  </si>
  <si>
    <t>1.1.11.</t>
  </si>
  <si>
    <t>Увеличение стоимости основных средств :</t>
  </si>
  <si>
    <t>Учебники</t>
  </si>
  <si>
    <t>Увеличение стоимости основных средств</t>
  </si>
  <si>
    <t>1.1.12.</t>
  </si>
  <si>
    <t xml:space="preserve">Увеличение стоимости материальных запасов </t>
  </si>
  <si>
    <t>Питание</t>
  </si>
  <si>
    <t>Учебные расходы</t>
  </si>
  <si>
    <t>Прочие расходы</t>
  </si>
  <si>
    <t>1.1.13.</t>
  </si>
  <si>
    <t>Организация отдыха детей в каникулярное время</t>
  </si>
  <si>
    <t xml:space="preserve">Налог на имущество </t>
  </si>
  <si>
    <t xml:space="preserve">Налог на землю </t>
  </si>
  <si>
    <t xml:space="preserve">Прочие налоги </t>
  </si>
  <si>
    <t>"Обеспечение качества и доступности образования на 2014 - 2020 годы" (Постановление администрации города от 28.10.2013 №4237)</t>
  </si>
  <si>
    <t>п.1.2</t>
  </si>
  <si>
    <t>Капитальный ремонт учреждений</t>
  </si>
  <si>
    <t>Капитальный ремонт зданий</t>
  </si>
  <si>
    <t>Изготовление ПСД</t>
  </si>
  <si>
    <t>п.1.3.</t>
  </si>
  <si>
    <t>Совершенствование МТБ учреждений</t>
  </si>
  <si>
    <t>п.1.3.1.</t>
  </si>
  <si>
    <t>Проведение текущего ремонта зданий, сооружений и территорий</t>
  </si>
  <si>
    <t>п.1.3.2.</t>
  </si>
  <si>
    <t>Приобретение строительных и прочих материалов</t>
  </si>
  <si>
    <t>п.1.3.3.</t>
  </si>
  <si>
    <t>Приобретение оборудования и мебели</t>
  </si>
  <si>
    <t>п.1.3.4.</t>
  </si>
  <si>
    <t>Ремонт наружних инженерных сетей и технол-ое присоединение мощностей</t>
  </si>
  <si>
    <t>п.1.3.5.</t>
  </si>
  <si>
    <t>Расходы на приобретение зданий и помещений</t>
  </si>
  <si>
    <t>п.1.4.</t>
  </si>
  <si>
    <t xml:space="preserve">Обеспечение безопасности в учреждениях </t>
  </si>
  <si>
    <t>п.1.4.1.</t>
  </si>
  <si>
    <t>Проектирование, монтаж, модернизация локальных систем видеонаблюдения</t>
  </si>
  <si>
    <t>п.1.4.2.</t>
  </si>
  <si>
    <t>Замена систем видеонаблюдения</t>
  </si>
  <si>
    <t>п.1.4.3.</t>
  </si>
  <si>
    <t>Подключение систем видеонаблюдения к АПК «Безопасный город»</t>
  </si>
  <si>
    <t>п.1.4.4.</t>
  </si>
  <si>
    <t>Проектирование, монаж, модернизация системы АПС</t>
  </si>
  <si>
    <t>п.1.4.5.</t>
  </si>
  <si>
    <t>Вывод сигнала о состоянии АПС на пульт 112</t>
  </si>
  <si>
    <t>п.1.4.6.</t>
  </si>
  <si>
    <t>Проектирование, монаж охранной сигнализации</t>
  </si>
  <si>
    <t>п.1.4.7.</t>
  </si>
  <si>
    <t>Испытание пожарных кранов, огезащитной обработки, систем оповещения, эвакуационных и пожарных лестниц</t>
  </si>
  <si>
    <t>п.1.4.8.</t>
  </si>
  <si>
    <t>Огнезащитная обработка деревянных конструкций</t>
  </si>
  <si>
    <t>п.1.4.9.</t>
  </si>
  <si>
    <t>Изготовление планов эвакуации</t>
  </si>
  <si>
    <t>п.1.4.10.</t>
  </si>
  <si>
    <t>Установка противопожарных дверей, люков</t>
  </si>
  <si>
    <t>п.1.4.11.</t>
  </si>
  <si>
    <t>Ремонт, модернизация внутреннего противопожарного водопровода</t>
  </si>
  <si>
    <t>п.1.4.12.</t>
  </si>
  <si>
    <t>Изготовление 3Д моделей зданий</t>
  </si>
  <si>
    <t>п.1.4.13.</t>
  </si>
  <si>
    <t>Независимая оценка пожарных рисков</t>
  </si>
  <si>
    <t>п.2.1.</t>
  </si>
  <si>
    <t>Дошкольное образование</t>
  </si>
  <si>
    <t>п.2.1.2.</t>
  </si>
  <si>
    <t xml:space="preserve">Открытие логопедических пунктов </t>
  </si>
  <si>
    <t>п.2.1.3.</t>
  </si>
  <si>
    <t>Оснащение специализированным оборудованием для детей с нарушением зрения</t>
  </si>
  <si>
    <t>п.2.1.4.</t>
  </si>
  <si>
    <t>Оснащение оборудованием  сенсорных комнат</t>
  </si>
  <si>
    <t>п.2.1.5.</t>
  </si>
  <si>
    <t>Проведение городских смотров-конкурсов среди ДОУ</t>
  </si>
  <si>
    <t>п.2.3.</t>
  </si>
  <si>
    <t>Обеспечение качества дополнительного образования детей</t>
  </si>
  <si>
    <t xml:space="preserve">Проведение городских мероприятий </t>
  </si>
  <si>
    <t>п.4.</t>
  </si>
  <si>
    <t>Развитие единой информационно-коммуникационной среды</t>
  </si>
  <si>
    <t>п.4.1.1.</t>
  </si>
  <si>
    <t>Оборудвание ДОУ</t>
  </si>
  <si>
    <t>п.4.1.2.</t>
  </si>
  <si>
    <t>Оснащение учреждений общего и дополнительного образования</t>
  </si>
  <si>
    <t>п.4.1.3.</t>
  </si>
  <si>
    <t>Оснащение ДОУ переферийным оборудованием</t>
  </si>
  <si>
    <t>п.4.1.5.</t>
  </si>
  <si>
    <t>Оснащение учреждений общего образования  переферийным оборудованием</t>
  </si>
  <si>
    <t>п.4.1.6.</t>
  </si>
  <si>
    <t>Оснащение учреждений общего образования  аппаратно-программными комплексами</t>
  </si>
  <si>
    <t>п.4.2.1.</t>
  </si>
  <si>
    <t>Обеспечение муниципальных дошкольных образовательных учреждений лицензионными пакетами программного обеспечения</t>
  </si>
  <si>
    <t>п.4.2.2.</t>
  </si>
  <si>
    <t xml:space="preserve">Защита персональных данных </t>
  </si>
  <si>
    <t>Защита персональных данных</t>
  </si>
  <si>
    <t>п.4.2.3.</t>
  </si>
  <si>
    <t xml:space="preserve">Обеспечение противовирусной защитой </t>
  </si>
  <si>
    <t>п.4.2.4.</t>
  </si>
  <si>
    <t>Оснащение образовательных учреждений специализированным программным обеспечением, соответствующим требованиям легитимности  и информационной безопасности</t>
  </si>
  <si>
    <t>п.4.3.1.</t>
  </si>
  <si>
    <t>Подключение муниципальных учреждений дошкольного и дополнительного образования детей к сети ЕМТС</t>
  </si>
  <si>
    <t>п.4.3.2.</t>
  </si>
  <si>
    <t>Обслуживание и ремонт объектов сети ЕМТС</t>
  </si>
  <si>
    <t>п.4.3.3.</t>
  </si>
  <si>
    <t>Предоставление скоростного интернет-канала учреждениям дошкольного и дополнительного образования</t>
  </si>
  <si>
    <t>п.4.3.4.</t>
  </si>
  <si>
    <t xml:space="preserve">Создание локальных сетей в учреждениях дошкольного и дополнительного  образования </t>
  </si>
  <si>
    <t>п.4.3.5.</t>
  </si>
  <si>
    <t xml:space="preserve">Модернизация школьных локальных вычислительных сетей </t>
  </si>
  <si>
    <t>п.4.3.6.</t>
  </si>
  <si>
    <t xml:space="preserve">Создание зон свободного доступа к информационным ресурсам </t>
  </si>
  <si>
    <t xml:space="preserve">Создание зон свободного доступа к информационным ресурсам учреждения </t>
  </si>
  <si>
    <t>п.4.3.7.</t>
  </si>
  <si>
    <t xml:space="preserve">Работа по обеспечению бесперебойного функционирования сайтов </t>
  </si>
  <si>
    <t>п.4.3.8.</t>
  </si>
  <si>
    <t>Обеспечение электронного документооборота</t>
  </si>
  <si>
    <t>п.4.4.1.</t>
  </si>
  <si>
    <t>Проведение городских конкурсов с использованием информационно-коммуникационных технологий</t>
  </si>
  <si>
    <t>п.4.5.1.</t>
  </si>
  <si>
    <t>Апробация новой компьютерной технологии «Дополненная реальность»</t>
  </si>
  <si>
    <t>п.4.5.2.</t>
  </si>
  <si>
    <t xml:space="preserve">Апробация новых компьютерных технологий для актового зала </t>
  </si>
  <si>
    <t>п.4.5.3.</t>
  </si>
  <si>
    <t>Внедрение иновационных технологий</t>
  </si>
  <si>
    <t>п.1.10.</t>
  </si>
  <si>
    <t>Оборудование центров внешкольной работы средствами доступа для инвалидов и других групп населения</t>
  </si>
  <si>
    <t>"Энергосбережение и повышение энергетической эффективности в городе Хабаровске на 2016-2020 годы" (Постановление администрации города от 10.10.2014 № 4368)</t>
  </si>
  <si>
    <t>п.9.1.</t>
  </si>
  <si>
    <t>Замена ламп накаливания на энергосберегающие, внедрение светодиодных источников света, модернизация систем освещения</t>
  </si>
  <si>
    <t>п.9.2.</t>
  </si>
  <si>
    <t xml:space="preserve">Оснащение зданий приборами учета используемых энергетических ресурсов , установка средств автоматики, балансировочных кранов, запорной арматуры, элеваторных узлов  </t>
  </si>
  <si>
    <t>п.9.3.</t>
  </si>
  <si>
    <t>Тепловая изоляция разводящих трубопроводов отопления, ГВС и оборудования в зданиях, строениях</t>
  </si>
  <si>
    <t>п.3.1.1.1</t>
  </si>
  <si>
    <t>Оплата труда специалистов "социальных гостиных"</t>
  </si>
  <si>
    <t xml:space="preserve">Начисления на заработную плату </t>
  </si>
  <si>
    <t>п.3.1.1.2</t>
  </si>
  <si>
    <t>Приобретение мягкой и корпусной мебели, бытовой техники</t>
  </si>
  <si>
    <t>п.3.1.1.3</t>
  </si>
  <si>
    <t>Издание методических рекомендаций, сборников, флайеров</t>
  </si>
  <si>
    <t>п.5.</t>
  </si>
  <si>
    <t>Мероприятия по экологическому просвещению и повышению уровня экологичекой культуры</t>
  </si>
  <si>
    <t>3.</t>
  </si>
  <si>
    <t>4.</t>
  </si>
  <si>
    <t>4.1.</t>
  </si>
  <si>
    <t>4.2.</t>
  </si>
  <si>
    <t>4.3.</t>
  </si>
  <si>
    <t>4.4.</t>
  </si>
  <si>
    <t>4.5.</t>
  </si>
  <si>
    <t>4.6.</t>
  </si>
  <si>
    <t>Тепло</t>
  </si>
  <si>
    <t>Свет</t>
  </si>
  <si>
    <t>Вода</t>
  </si>
  <si>
    <t>4.7.</t>
  </si>
  <si>
    <t>Арендная плата за пользование имуществом</t>
  </si>
  <si>
    <t>4.8.</t>
  </si>
  <si>
    <t>Текущий ремонт учреждения</t>
  </si>
  <si>
    <t>4.9.</t>
  </si>
  <si>
    <t>Прочие услуги по содержанию имущества</t>
  </si>
  <si>
    <t>4.10.</t>
  </si>
  <si>
    <t xml:space="preserve">Прочие услуги </t>
  </si>
  <si>
    <t>4.11.</t>
  </si>
  <si>
    <t>Организация отдыха в каникулярное время</t>
  </si>
  <si>
    <t>4.12.</t>
  </si>
  <si>
    <t>4.13.</t>
  </si>
  <si>
    <t>4.14.</t>
  </si>
  <si>
    <t>5.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</si>
  <si>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</si>
  <si>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</si>
  <si>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</si>
  <si>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</si>
  <si>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</si>
  <si>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</si>
  <si>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</si>
  <si>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</si>
  <si>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</si>
  <si>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</si>
  <si>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</si>
  <si>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</si>
  <si>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</si>
  <si>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Увеличение стоимости материальных запасов</t>
  </si>
  <si>
    <t>6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</si>
  <si>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</si>
  <si>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</si>
  <si>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</si>
  <si>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</si>
  <si>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</si>
  <si>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</si>
  <si>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</si>
  <si>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</si>
  <si>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</si>
  <si>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</si>
  <si>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</si>
  <si>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</si>
  <si>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</si>
  <si>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</si>
  <si>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7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</si>
  <si>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</si>
  <si>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</si>
  <si>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</si>
  <si>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</si>
  <si>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</si>
  <si>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</si>
  <si>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</si>
  <si>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</si>
  <si>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</si>
  <si>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</si>
  <si>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</si>
  <si>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</si>
  <si>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7.13.</t>
  </si>
  <si>
    <t>7.14.</t>
  </si>
  <si>
    <t>Нормативные затраты на оказание муниципальной услуги</t>
  </si>
  <si>
    <t>СВОД по муниципальным автономным дошкольным учреждениям</t>
  </si>
  <si>
    <t>СВОД по муниципальным дошкольным учреждениям</t>
  </si>
  <si>
    <t xml:space="preserve">СВОД по муниципальным бюджетным общеобразовательным учреждениям </t>
  </si>
  <si>
    <t>иные межбюджетные трансферты (1610)</t>
  </si>
  <si>
    <t xml:space="preserve">СВОД по муниципальным автономным общеобразовательным учреждениям </t>
  </si>
  <si>
    <t>МАУ  "Центр развития образования"</t>
  </si>
  <si>
    <t>Оснащение зданий приборами учета используемых энергетических ресурсов , установка средств автоматики, балансировочных кранов, запорной арматуры…</t>
  </si>
  <si>
    <t>Оснащение образовательных учреждений специализированным программным обеспечением</t>
  </si>
  <si>
    <t>1.1.14.</t>
  </si>
  <si>
    <t>Оснащение образовательных учреждений специализированным программным обеспечением, соответствующим требованиям легитимности…</t>
  </si>
  <si>
    <t>Прочие</t>
  </si>
  <si>
    <t>4.15.</t>
  </si>
  <si>
    <t>п.2.2.</t>
  </si>
  <si>
    <t>Обеспечение качества общего образования, поддержка талантливых и одарённых детей</t>
  </si>
  <si>
    <t>п.2.2.9.</t>
  </si>
  <si>
    <t>Краевые мероприятия</t>
  </si>
  <si>
    <t>Оснащение зданий приборами учета используемых энергетических ресурсов , установка средств автоматики, балансировочных кранов…</t>
  </si>
  <si>
    <r>
      <t>"Энергосбережение и повышение энергетической эффективности в городе Хабаровске на 2016-2020 годы"</t>
    </r>
    <r>
      <rPr>
        <b/>
        <i/>
        <sz val="12"/>
        <rFont val="Times New Roman"/>
        <family val="1"/>
        <charset val="204"/>
      </rPr>
      <t xml:space="preserve"> (Постановление администрации города от 10.10.2014 № 4368)</t>
    </r>
  </si>
  <si>
    <t xml:space="preserve">СВОД по муниципальным автономным учреждениям дополнительного образования </t>
  </si>
  <si>
    <t xml:space="preserve">СВОД по муниципальным общеобразовательным учреждениям </t>
  </si>
  <si>
    <t>План</t>
  </si>
  <si>
    <t>Исполнено</t>
  </si>
  <si>
    <t>%</t>
  </si>
  <si>
    <t>Проведение текущего ремонта зданий</t>
  </si>
  <si>
    <t>Проектирование, монаж, модернизация АПС</t>
  </si>
  <si>
    <t>"Обеспечение качества и доступности образования на 2014 - 2020 годы"</t>
  </si>
  <si>
    <t>"Энергосбережение и повышение энергетической эффективности в городе Хабаровске на 2016-2020 годы"</t>
  </si>
  <si>
    <t xml:space="preserve">"Обеспечение качества и доступности образования на 2014 - 2020 годы" </t>
  </si>
  <si>
    <t>Анализ показателей по поступлениям и выплатам плана финансово-хозяйственной деятельности на 2016 год по состоянию на 01.05.2016</t>
  </si>
  <si>
    <t>Остаток средств на 01.05.2017, в том числе:</t>
  </si>
  <si>
    <t>"Доступная среда" на 2014-2020 годы"</t>
  </si>
  <si>
    <t>"Молодежь Хабаровска"</t>
  </si>
  <si>
    <t xml:space="preserve">"Улучшение экологического состояния города Хабаровска на 2014-2018 годы" </t>
  </si>
  <si>
    <t>Оснащение образовательных учреждений специализированным программным обеспечением…</t>
  </si>
  <si>
    <t>Проведение городских и  краевых мероприятий</t>
  </si>
  <si>
    <t>краевой бюджет</t>
  </si>
  <si>
    <t>муниципальный бюджет</t>
  </si>
  <si>
    <t>Приложение №  4</t>
  </si>
  <si>
    <t xml:space="preserve">муниципальных бюджетных и автономных </t>
  </si>
  <si>
    <t>образовательных учреждений</t>
  </si>
  <si>
    <t xml:space="preserve">Показатели по поступлениям и выплатам плана финансово-хозяйственной деятельности </t>
  </si>
  <si>
    <t>КБК</t>
  </si>
  <si>
    <t>Объём финансового обеспечения, руб.</t>
  </si>
  <si>
    <t>субсидия на финансовое обеспечение выполнения муниципального задания</t>
  </si>
  <si>
    <t>Код строки</t>
  </si>
  <si>
    <t>субсидия на иные цели</t>
  </si>
  <si>
    <t>поступления от оказания услуг на платной основе и от иной приносящий длход деятельности</t>
  </si>
  <si>
    <t>платные услуги</t>
  </si>
  <si>
    <t>аренда</t>
  </si>
  <si>
    <t>добровольные пожертвования</t>
  </si>
  <si>
    <t>Выплаты по расходам всего, в том числе:</t>
  </si>
  <si>
    <t>Выплаты ха счёт внебюджетных источников</t>
  </si>
  <si>
    <t>Остаток средств на начало года</t>
  </si>
  <si>
    <t>Остаток средств на конец года</t>
  </si>
  <si>
    <t>Наименование программы</t>
  </si>
  <si>
    <t>п</t>
  </si>
  <si>
    <t>пункты программы</t>
  </si>
  <si>
    <t>Поступления от доходов всего, в том числе:</t>
  </si>
  <si>
    <t>Х</t>
  </si>
  <si>
    <t>Доходы от собственности</t>
  </si>
  <si>
    <t>Доходы от оказания услуг, работ, в том числе</t>
  </si>
  <si>
    <t>2.1.1.</t>
  </si>
  <si>
    <t>2.1.2.</t>
  </si>
  <si>
    <t>Доходы от штрафов, пеней, иных сумм принудительного взыскания</t>
  </si>
  <si>
    <t>Безвозмездные поступоения от международных организаций</t>
  </si>
  <si>
    <t>Иные субсидии, предоставленные из бюджета</t>
  </si>
  <si>
    <t>Прочие доходы</t>
  </si>
  <si>
    <t>6.</t>
  </si>
  <si>
    <t>Доходы от операций с активами</t>
  </si>
  <si>
    <t>Выплаты персоналу всег, из них:</t>
  </si>
  <si>
    <t>Оплата труда и начисления на выплаты по оплате труда</t>
  </si>
  <si>
    <t>Социальные и иные выплаты населению, всего, из них:</t>
  </si>
  <si>
    <t>Уплата налогов, сборов и иных платежей</t>
  </si>
  <si>
    <t>Расходы на закупку товаров, работ, услуг, всего, из них:</t>
  </si>
  <si>
    <t>1.1.4.1</t>
  </si>
  <si>
    <t>1.1.4.2</t>
  </si>
  <si>
    <t>1.1.4.3</t>
  </si>
  <si>
    <t>1.1.4.4</t>
  </si>
  <si>
    <t>1.1.4.5</t>
  </si>
  <si>
    <t>1.1.4.6</t>
  </si>
  <si>
    <t>1.1.4.7</t>
  </si>
  <si>
    <t>1.1.4.8</t>
  </si>
  <si>
    <t>1.1.4.9</t>
  </si>
  <si>
    <t>1.1.4.10</t>
  </si>
  <si>
    <t>1.2.1</t>
  </si>
  <si>
    <t>1.2.2</t>
  </si>
  <si>
    <t>1.2.3</t>
  </si>
  <si>
    <t>3.1.</t>
  </si>
  <si>
    <t>3.2.</t>
  </si>
  <si>
    <t>3.3.</t>
  </si>
  <si>
    <t>3.4.</t>
  </si>
  <si>
    <t>3.4.1.</t>
  </si>
  <si>
    <t>3.4.2.</t>
  </si>
  <si>
    <t>3.4.3.</t>
  </si>
  <si>
    <t>3.4.4.</t>
  </si>
  <si>
    <t>3.4.5.</t>
  </si>
  <si>
    <t>3.4.6.</t>
  </si>
  <si>
    <t>3.4.7.</t>
  </si>
  <si>
    <t>3.4.8.</t>
  </si>
  <si>
    <t>Субсидия на финансовое обеспечение муниципального задания</t>
  </si>
  <si>
    <t>Внебюджетные средства</t>
  </si>
  <si>
    <t>Прочие расходы (кроме расходов на закупку товаров, работ, услуг), всего, из них:</t>
  </si>
  <si>
    <t>Итого по иным целям</t>
  </si>
  <si>
    <t>Итого расходы  на выполнение муниципального задания и иные цели</t>
  </si>
  <si>
    <t>Выплаты персоналу всего, из них:</t>
  </si>
  <si>
    <t>к Порядку составления и утверждения</t>
  </si>
  <si>
    <t>от _________________2016г. №_________</t>
  </si>
  <si>
    <t xml:space="preserve">плана финансово-хозяйственной деятельности  </t>
  </si>
  <si>
    <t>МП"Оьеспечение качества и доступности образования на 2014-2020г</t>
  </si>
  <si>
    <t>1.3.1</t>
  </si>
  <si>
    <t xml:space="preserve">Проведение текущего ремонта зданий,сооружений и территорий,изготовление ПСД </t>
  </si>
  <si>
    <t>1.3.3</t>
  </si>
  <si>
    <t>Приобритение оборудования и мебели</t>
  </si>
  <si>
    <t>4.2.2.</t>
  </si>
  <si>
    <t>Обеспечение легитимности и информационной безопасности</t>
  </si>
  <si>
    <t>6.3</t>
  </si>
  <si>
    <t xml:space="preserve">Исполнение закона Хабаровского края от 14.11.2007 № 153"О наделении органов местного самоуправления государственными полномочиями Хабаровского края по предоставлению отдельных граждан в области образования </t>
  </si>
  <si>
    <t>МП"Обеспечение качества и доступности образования на 2014-2020г</t>
  </si>
  <si>
    <t>Муниципальное автономное общеобразовательное учреждение "Многопрофильный лицей имени 202-ой воздушно-десантной бригады"</t>
  </si>
  <si>
    <t xml:space="preserve"> на 31 декабря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</si>
</sst>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 x14ac:knownFonts="1">
    <font>
      <sz val="11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2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u/>
      <sz val="3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i/>
      <u/>
      <sz val="32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u/>
      <sz val="22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2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2" borderId="0" xfId="0" applyFont="1" applyFill="1"/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/>
    </xf>
    <xf numFmtId="4" fontId="7" fillId="2" borderId="0" xfId="0" applyNumberFormat="1" applyFont="1" applyFill="1"/>
    <xf numFmtId="0" fontId="14" fillId="2" borderId="0" xfId="0" applyFont="1" applyFill="1"/>
    <xf numFmtId="0" fontId="1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8" fillId="3" borderId="0" xfId="0" applyFont="1" applyFill="1"/>
    <xf numFmtId="4" fontId="13" fillId="2" borderId="1" xfId="0" applyNumberFormat="1" applyFont="1" applyFill="1" applyBorder="1" applyAlignment="1">
      <alignment wrapText="1"/>
    </xf>
    <xf numFmtId="0" fontId="25" fillId="3" borderId="0" xfId="0" applyFont="1" applyFill="1"/>
    <xf numFmtId="4" fontId="26" fillId="2" borderId="1" xfId="0" applyNumberFormat="1" applyFont="1" applyFill="1" applyBorder="1" applyAlignment="1">
      <alignment wrapText="1"/>
    </xf>
    <xf numFmtId="0" fontId="27" fillId="2" borderId="0" xfId="0" applyFont="1" applyFill="1"/>
    <xf numFmtId="4" fontId="26" fillId="3" borderId="1" xfId="0" applyNumberFormat="1" applyFont="1" applyFill="1" applyBorder="1" applyAlignment="1">
      <alignment wrapText="1"/>
    </xf>
    <xf numFmtId="0" fontId="29" fillId="3" borderId="0" xfId="0" applyFont="1" applyFill="1"/>
    <xf numFmtId="4" fontId="24" fillId="3" borderId="1" xfId="0" applyNumberFormat="1" applyFont="1" applyFill="1" applyBorder="1" applyAlignment="1">
      <alignment wrapText="1"/>
    </xf>
    <xf numFmtId="0" fontId="25" fillId="2" borderId="0" xfId="0" applyFont="1" applyFill="1"/>
    <xf numFmtId="0" fontId="18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15" fillId="2" borderId="0" xfId="0" applyFont="1" applyFill="1"/>
    <xf numFmtId="0" fontId="27" fillId="3" borderId="0" xfId="0" applyFont="1" applyFill="1"/>
    <xf numFmtId="4" fontId="13" fillId="3" borderId="1" xfId="0" applyNumberFormat="1" applyFont="1" applyFill="1" applyBorder="1" applyAlignment="1">
      <alignment wrapText="1"/>
    </xf>
    <xf numFmtId="0" fontId="15" fillId="3" borderId="0" xfId="0" applyFont="1" applyFill="1"/>
    <xf numFmtId="4" fontId="14" fillId="2" borderId="1" xfId="0" applyNumberFormat="1" applyFont="1" applyFill="1" applyBorder="1" applyAlignment="1">
      <alignment wrapText="1"/>
    </xf>
    <xf numFmtId="4" fontId="17" fillId="3" borderId="1" xfId="0" applyNumberFormat="1" applyFont="1" applyFill="1" applyBorder="1" applyAlignment="1">
      <alignment wrapText="1"/>
    </xf>
    <xf numFmtId="0" fontId="37" fillId="2" borderId="0" xfId="0" applyFont="1" applyFill="1" applyAlignment="1">
      <alignment vertical="center" wrapText="1"/>
    </xf>
    <xf numFmtId="0" fontId="39" fillId="3" borderId="0" xfId="0" applyFont="1" applyFill="1"/>
    <xf numFmtId="0" fontId="41" fillId="3" borderId="0" xfId="0" applyFont="1" applyFill="1"/>
    <xf numFmtId="4" fontId="31" fillId="2" borderId="1" xfId="0" applyNumberFormat="1" applyFont="1" applyFill="1" applyBorder="1" applyAlignment="1">
      <alignment wrapText="1"/>
    </xf>
    <xf numFmtId="0" fontId="42" fillId="2" borderId="0" xfId="0" applyFont="1" applyFill="1" applyAlignment="1">
      <alignment vertical="center" wrapText="1"/>
    </xf>
    <xf numFmtId="0" fontId="43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4" fontId="17" fillId="2" borderId="1" xfId="0" applyNumberFormat="1" applyFont="1" applyFill="1" applyBorder="1" applyAlignment="1">
      <alignment wrapText="1"/>
    </xf>
    <xf numFmtId="4" fontId="14" fillId="3" borderId="1" xfId="0" applyNumberFormat="1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23" fillId="3" borderId="1" xfId="0" applyNumberFormat="1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left" vertical="center" wrapText="1"/>
    </xf>
    <xf numFmtId="49" fontId="32" fillId="3" borderId="1" xfId="0" applyNumberFormat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center" vertical="center" wrapText="1"/>
    </xf>
    <xf numFmtId="49" fontId="35" fillId="2" borderId="1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wrapText="1"/>
    </xf>
    <xf numFmtId="0" fontId="44" fillId="2" borderId="0" xfId="0" applyFont="1" applyFill="1" applyAlignment="1">
      <alignment vertical="center" wrapText="1"/>
    </xf>
    <xf numFmtId="4" fontId="31" fillId="0" borderId="1" xfId="0" applyNumberFormat="1" applyFont="1" applyFill="1" applyBorder="1" applyAlignment="1">
      <alignment wrapText="1"/>
    </xf>
    <xf numFmtId="4" fontId="45" fillId="0" borderId="1" xfId="0" applyNumberFormat="1" applyFont="1" applyFill="1" applyBorder="1" applyAlignment="1">
      <alignment wrapText="1"/>
    </xf>
    <xf numFmtId="4" fontId="31" fillId="4" borderId="1" xfId="0" applyNumberFormat="1" applyFont="1" applyFill="1" applyBorder="1" applyAlignment="1">
      <alignment wrapText="1"/>
    </xf>
    <xf numFmtId="4" fontId="24" fillId="5" borderId="1" xfId="0" applyNumberFormat="1" applyFont="1" applyFill="1" applyBorder="1" applyAlignment="1">
      <alignment wrapText="1"/>
    </xf>
    <xf numFmtId="4" fontId="26" fillId="4" borderId="1" xfId="0" applyNumberFormat="1" applyFont="1" applyFill="1" applyBorder="1" applyAlignment="1">
      <alignment wrapText="1"/>
    </xf>
    <xf numFmtId="4" fontId="45" fillId="4" borderId="1" xfId="0" applyNumberFormat="1" applyFont="1" applyFill="1" applyBorder="1" applyAlignment="1">
      <alignment wrapText="1"/>
    </xf>
    <xf numFmtId="4" fontId="46" fillId="4" borderId="1" xfId="0" applyNumberFormat="1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wrapText="1"/>
    </xf>
    <xf numFmtId="4" fontId="24" fillId="0" borderId="1" xfId="0" applyNumberFormat="1" applyFont="1" applyFill="1" applyBorder="1" applyAlignment="1">
      <alignment wrapText="1"/>
    </xf>
    <xf numFmtId="4" fontId="31" fillId="6" borderId="1" xfId="0" applyNumberFormat="1" applyFont="1" applyFill="1" applyBorder="1" applyAlignment="1">
      <alignment wrapText="1"/>
    </xf>
    <xf numFmtId="3" fontId="17" fillId="3" borderId="1" xfId="0" applyNumberFormat="1" applyFont="1" applyFill="1" applyBorder="1" applyAlignment="1">
      <alignment wrapText="1"/>
    </xf>
    <xf numFmtId="3" fontId="17" fillId="2" borderId="1" xfId="0" applyNumberFormat="1" applyFont="1" applyFill="1" applyBorder="1" applyAlignment="1">
      <alignment wrapText="1"/>
    </xf>
    <xf numFmtId="3" fontId="48" fillId="2" borderId="1" xfId="0" applyNumberFormat="1" applyFont="1" applyFill="1" applyBorder="1" applyAlignment="1">
      <alignment wrapText="1"/>
    </xf>
    <xf numFmtId="4" fontId="31" fillId="7" borderId="1" xfId="0" applyNumberFormat="1" applyFont="1" applyFill="1" applyBorder="1" applyAlignment="1">
      <alignment wrapText="1"/>
    </xf>
    <xf numFmtId="4" fontId="45" fillId="0" borderId="1" xfId="0" applyNumberFormat="1" applyFont="1" applyFill="1" applyBorder="1" applyAlignment="1">
      <alignment horizontal="right" wrapText="1"/>
    </xf>
    <xf numFmtId="4" fontId="45" fillId="7" borderId="1" xfId="0" applyNumberFormat="1" applyFont="1" applyFill="1" applyBorder="1" applyAlignment="1">
      <alignment wrapText="1"/>
    </xf>
    <xf numFmtId="4" fontId="14" fillId="6" borderId="1" xfId="0" applyNumberFormat="1" applyFont="1" applyFill="1" applyBorder="1" applyAlignment="1">
      <alignment wrapText="1"/>
    </xf>
    <xf numFmtId="4" fontId="25" fillId="2" borderId="0" xfId="0" applyNumberFormat="1" applyFont="1" applyFill="1"/>
    <xf numFmtId="0" fontId="0" fillId="2" borderId="0" xfId="0" applyFill="1"/>
    <xf numFmtId="4" fontId="26" fillId="6" borderId="1" xfId="0" applyNumberFormat="1" applyFont="1" applyFill="1" applyBorder="1" applyAlignment="1">
      <alignment wrapText="1"/>
    </xf>
    <xf numFmtId="0" fontId="51" fillId="2" borderId="0" xfId="0" applyFont="1" applyFill="1"/>
    <xf numFmtId="4" fontId="45" fillId="4" borderId="5" xfId="0" applyNumberFormat="1" applyFont="1" applyFill="1" applyBorder="1" applyAlignment="1">
      <alignment wrapText="1"/>
    </xf>
    <xf numFmtId="4" fontId="18" fillId="2" borderId="0" xfId="0" applyNumberFormat="1" applyFont="1" applyFill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left" vertical="center" wrapText="1"/>
    </xf>
    <xf numFmtId="0" fontId="6" fillId="0" borderId="0" xfId="0" applyFont="1"/>
    <xf numFmtId="0" fontId="30" fillId="2" borderId="1" xfId="0" applyFont="1" applyFill="1" applyBorder="1" applyAlignment="1">
      <alignment horizontal="left" vertical="center" wrapText="1"/>
    </xf>
    <xf numFmtId="0" fontId="5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24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wrapText="1"/>
    </xf>
    <xf numFmtId="0" fontId="54" fillId="2" borderId="1" xfId="0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wrapText="1"/>
    </xf>
    <xf numFmtId="0" fontId="54" fillId="2" borderId="0" xfId="0" applyFont="1" applyFill="1"/>
    <xf numFmtId="0" fontId="3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wrapText="1"/>
    </xf>
    <xf numFmtId="4" fontId="17" fillId="2" borderId="1" xfId="0" applyNumberFormat="1" applyFont="1" applyFill="1" applyBorder="1" applyAlignment="1">
      <alignment horizontal="center" wrapText="1"/>
    </xf>
    <xf numFmtId="0" fontId="54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4" fontId="48" fillId="3" borderId="1" xfId="0" applyNumberFormat="1" applyFont="1" applyFill="1" applyBorder="1" applyAlignment="1">
      <alignment horizontal="center" wrapText="1"/>
    </xf>
    <xf numFmtId="4" fontId="24" fillId="3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54" fillId="2" borderId="1" xfId="0" applyNumberFormat="1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left" vertical="center" wrapText="1"/>
    </xf>
    <xf numFmtId="49" fontId="56" fillId="2" borderId="1" xfId="0" applyNumberFormat="1" applyFont="1" applyFill="1" applyBorder="1" applyAlignment="1">
      <alignment horizontal="center" vertical="center" wrapText="1"/>
    </xf>
    <xf numFmtId="49" fontId="57" fillId="2" borderId="1" xfId="0" applyNumberFormat="1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left" vertical="center" wrapText="1"/>
    </xf>
    <xf numFmtId="0" fontId="57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59" fillId="2" borderId="1" xfId="0" applyNumberFormat="1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left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left" vertical="center" wrapText="1"/>
    </xf>
    <xf numFmtId="0" fontId="61" fillId="2" borderId="1" xfId="0" applyFont="1" applyFill="1" applyBorder="1" applyAlignment="1">
      <alignment horizontal="center" vertical="center" wrapText="1"/>
    </xf>
    <xf numFmtId="4" fontId="57" fillId="2" borderId="1" xfId="0" applyNumberFormat="1" applyFont="1" applyFill="1" applyBorder="1" applyAlignment="1">
      <alignment wrapText="1"/>
    </xf>
    <xf numFmtId="0" fontId="57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wrapText="1"/>
    </xf>
    <xf numFmtId="4" fontId="57" fillId="3" borderId="1" xfId="0" applyNumberFormat="1" applyFont="1" applyFill="1" applyBorder="1" applyAlignment="1">
      <alignment wrapText="1"/>
    </xf>
    <xf numFmtId="0" fontId="14" fillId="0" borderId="0" xfId="0" applyFont="1"/>
    <xf numFmtId="0" fontId="62" fillId="2" borderId="1" xfId="0" applyFont="1" applyFill="1" applyBorder="1" applyAlignment="1">
      <alignment horizontal="left" vertical="center" wrapText="1"/>
    </xf>
    <xf numFmtId="49" fontId="30" fillId="3" borderId="1" xfId="0" applyNumberFormat="1" applyFont="1" applyFill="1" applyBorder="1" applyAlignment="1">
      <alignment horizontal="center" vertical="center" wrapText="1"/>
    </xf>
    <xf numFmtId="4" fontId="55" fillId="3" borderId="1" xfId="0" applyNumberFormat="1" applyFont="1" applyFill="1" applyBorder="1" applyAlignment="1">
      <alignment wrapText="1"/>
    </xf>
    <xf numFmtId="4" fontId="30" fillId="3" borderId="1" xfId="0" applyNumberFormat="1" applyFont="1" applyFill="1" applyBorder="1" applyAlignment="1">
      <alignment wrapText="1"/>
    </xf>
    <xf numFmtId="0" fontId="30" fillId="3" borderId="0" xfId="0" applyFont="1" applyFill="1"/>
    <xf numFmtId="0" fontId="6" fillId="0" borderId="0" xfId="0" applyFont="1" applyAlignment="1"/>
    <xf numFmtId="0" fontId="0" fillId="2" borderId="0" xfId="0" applyFill="1" applyAlignment="1"/>
    <xf numFmtId="4" fontId="17" fillId="3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57" fillId="3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0" fillId="2" borderId="7" xfId="0" applyFont="1" applyFill="1" applyBorder="1" applyAlignment="1">
      <alignment horizontal="center" vertical="top" wrapText="1"/>
    </xf>
    <xf numFmtId="0" fontId="52" fillId="2" borderId="0" xfId="0" applyFont="1" applyFill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top" wrapText="1"/>
    </xf>
    <xf numFmtId="0" fontId="30" fillId="3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4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3" fillId="2" borderId="0" xfId="0" applyFont="1" applyFill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47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M222"/>
  <sheetViews>
    <sheetView tabSelected="1" view="pageBreakPreview" topLeftCell="E13" zoomScale="80" zoomScaleNormal="80" zoomScaleSheetLayoutView="80" workbookViewId="0">
      <selection activeCell="J18" sqref="J18"/>
    </sheetView>
  </sheetViews>
  <sheetFormatPr defaultRowHeight="15.75" x14ac:dyDescent="0.25"/>
  <cols>
    <col min="1" max="1" width="10" style="99" customWidth="1"/>
    <col min="2" max="2" width="81.28515625" style="99" customWidth="1"/>
    <col min="3" max="3" width="8.5703125" style="109" customWidth="1"/>
    <col min="4" max="4" width="10" style="101" customWidth="1"/>
    <col min="5" max="6" width="21" style="99" customWidth="1"/>
    <col min="7" max="7" width="18.7109375" style="99" customWidth="1"/>
    <col min="8" max="8" width="8.7109375" style="99" customWidth="1"/>
    <col min="9" max="9" width="14.28515625" style="99" customWidth="1"/>
    <col min="10" max="10" width="13.42578125" style="99" customWidth="1"/>
    <col min="11" max="11" width="18" style="99" customWidth="1"/>
    <col min="12" max="13" width="10.7109375" style="99" customWidth="1"/>
    <col min="14" max="14" width="17.5703125" style="99" customWidth="1"/>
    <col min="15" max="15" width="17.7109375" style="99" customWidth="1"/>
    <col min="16" max="16" width="18.85546875" style="99" customWidth="1"/>
    <col min="17" max="17" width="22.85546875" style="99" customWidth="1"/>
    <col min="18" max="16384" width="9.140625" style="99"/>
  </cols>
  <sheetData>
    <row r="1" spans="1:24" x14ac:dyDescent="0.25">
      <c r="I1" s="107"/>
      <c r="L1" s="147" t="s">
        <v>312</v>
      </c>
    </row>
    <row r="2" spans="1:24" x14ac:dyDescent="0.25">
      <c r="I2" s="107"/>
      <c r="L2" s="156" t="s">
        <v>380</v>
      </c>
      <c r="M2" s="156"/>
      <c r="N2" s="156"/>
      <c r="O2" s="156"/>
      <c r="P2" s="156"/>
    </row>
    <row r="3" spans="1:24" x14ac:dyDescent="0.25">
      <c r="I3" s="107"/>
      <c r="L3" s="153" t="s">
        <v>382</v>
      </c>
      <c r="M3" s="154"/>
      <c r="N3" s="154"/>
      <c r="O3" s="154"/>
      <c r="P3" s="154"/>
    </row>
    <row r="4" spans="1:24" x14ac:dyDescent="0.25">
      <c r="I4" s="107"/>
      <c r="L4" s="153" t="s">
        <v>313</v>
      </c>
      <c r="M4" s="154"/>
      <c r="N4" s="154"/>
      <c r="O4" s="154"/>
      <c r="P4" s="154"/>
    </row>
    <row r="5" spans="1:24" x14ac:dyDescent="0.25">
      <c r="I5" s="107"/>
      <c r="L5" s="153" t="s">
        <v>314</v>
      </c>
      <c r="M5" s="154"/>
      <c r="N5" s="154"/>
      <c r="O5" s="154"/>
      <c r="P5" s="154"/>
    </row>
    <row r="6" spans="1:24" x14ac:dyDescent="0.25">
      <c r="I6" s="107"/>
      <c r="L6" s="156" t="s">
        <v>381</v>
      </c>
      <c r="M6" s="156"/>
      <c r="N6" s="156"/>
      <c r="O6" s="156"/>
      <c r="P6" s="156"/>
    </row>
    <row r="7" spans="1:24" s="6" customFormat="1" ht="16.5" x14ac:dyDescent="0.25">
      <c r="A7" s="9"/>
      <c r="B7" s="10"/>
      <c r="C7" s="110"/>
      <c r="D7" s="9"/>
    </row>
    <row r="8" spans="1:24" s="6" customFormat="1" ht="72.75" customHeight="1" x14ac:dyDescent="0.25">
      <c r="A8" s="160" t="s">
        <v>315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</row>
    <row r="9" spans="1:24" s="6" customFormat="1" ht="18.75" x14ac:dyDescent="0.25">
      <c r="A9" s="162" t="s">
        <v>393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</row>
    <row r="10" spans="1:24" s="6" customFormat="1" ht="45" x14ac:dyDescent="0.25">
      <c r="A10" s="161" t="s">
        <v>394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40"/>
      <c r="R10" s="40"/>
      <c r="S10" s="40"/>
      <c r="T10" s="40"/>
      <c r="U10" s="40"/>
      <c r="V10" s="40"/>
      <c r="W10" s="40"/>
      <c r="X10" s="12"/>
    </row>
    <row r="11" spans="1:24" s="6" customFormat="1" ht="21.75" customHeight="1" x14ac:dyDescent="0.25">
      <c r="A11" s="9"/>
      <c r="B11" s="10"/>
      <c r="C11" s="110"/>
      <c r="D11" s="9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24" s="15" customFormat="1" ht="23.25" customHeight="1" x14ac:dyDescent="0.25">
      <c r="A12" s="158" t="s">
        <v>4</v>
      </c>
      <c r="B12" s="159" t="s">
        <v>5</v>
      </c>
      <c r="C12" s="164" t="s">
        <v>319</v>
      </c>
      <c r="D12" s="158" t="s">
        <v>316</v>
      </c>
      <c r="E12" s="166" t="s">
        <v>7</v>
      </c>
      <c r="F12" s="166" t="s">
        <v>317</v>
      </c>
      <c r="G12" s="166"/>
      <c r="H12" s="166"/>
      <c r="I12" s="166"/>
      <c r="J12" s="166"/>
      <c r="K12" s="166"/>
      <c r="L12" s="166"/>
      <c r="M12" s="166"/>
      <c r="N12" s="166"/>
      <c r="O12" s="166"/>
      <c r="P12" s="166"/>
    </row>
    <row r="13" spans="1:24" s="15" customFormat="1" ht="31.5" customHeight="1" x14ac:dyDescent="0.25">
      <c r="A13" s="158"/>
      <c r="B13" s="159"/>
      <c r="C13" s="164"/>
      <c r="D13" s="158"/>
      <c r="E13" s="166"/>
      <c r="F13" s="166" t="s">
        <v>318</v>
      </c>
      <c r="G13" s="166"/>
      <c r="H13" s="166"/>
      <c r="I13" s="166"/>
      <c r="J13" s="166"/>
      <c r="K13" s="166" t="s">
        <v>320</v>
      </c>
      <c r="L13" s="166"/>
      <c r="M13" s="166"/>
      <c r="N13" s="165" t="s">
        <v>321</v>
      </c>
      <c r="O13" s="165"/>
      <c r="P13" s="165"/>
    </row>
    <row r="14" spans="1:24" s="16" customFormat="1" ht="33" customHeight="1" x14ac:dyDescent="0.25">
      <c r="A14" s="158"/>
      <c r="B14" s="159"/>
      <c r="C14" s="164"/>
      <c r="D14" s="158"/>
      <c r="E14" s="166"/>
      <c r="F14" s="165" t="s">
        <v>311</v>
      </c>
      <c r="G14" s="158" t="s">
        <v>310</v>
      </c>
      <c r="H14" s="158"/>
      <c r="I14" s="158"/>
      <c r="J14" s="158"/>
      <c r="K14" s="165" t="s">
        <v>311</v>
      </c>
      <c r="L14" s="158" t="s">
        <v>310</v>
      </c>
      <c r="M14" s="158"/>
      <c r="N14" s="165"/>
      <c r="O14" s="165"/>
      <c r="P14" s="165"/>
    </row>
    <row r="15" spans="1:24" s="16" customFormat="1" ht="84.75" customHeight="1" x14ac:dyDescent="0.25">
      <c r="A15" s="158"/>
      <c r="B15" s="159"/>
      <c r="C15" s="164"/>
      <c r="D15" s="158"/>
      <c r="E15" s="166"/>
      <c r="F15" s="165"/>
      <c r="G15" s="104" t="s">
        <v>12</v>
      </c>
      <c r="H15" s="104" t="s">
        <v>13</v>
      </c>
      <c r="I15" s="104" t="s">
        <v>14</v>
      </c>
      <c r="J15" s="104" t="s">
        <v>15</v>
      </c>
      <c r="K15" s="165"/>
      <c r="L15" s="104"/>
      <c r="M15" s="104"/>
      <c r="N15" s="104" t="s">
        <v>322</v>
      </c>
      <c r="O15" s="104" t="s">
        <v>323</v>
      </c>
      <c r="P15" s="105" t="s">
        <v>324</v>
      </c>
    </row>
    <row r="16" spans="1:24" s="26" customFormat="1" ht="20.25" x14ac:dyDescent="0.25">
      <c r="A16" s="163" t="s">
        <v>332</v>
      </c>
      <c r="B16" s="163"/>
      <c r="C16" s="123">
        <v>100</v>
      </c>
      <c r="D16" s="124"/>
      <c r="E16" s="125">
        <f>E17+E18+E22+E23+E24</f>
        <v>71907728.210000008</v>
      </c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</row>
    <row r="17" spans="1:39" s="117" customFormat="1" ht="19.5" x14ac:dyDescent="0.35">
      <c r="A17" s="114" t="s">
        <v>17</v>
      </c>
      <c r="B17" s="115" t="s">
        <v>334</v>
      </c>
      <c r="C17" s="114">
        <v>110</v>
      </c>
      <c r="D17" s="111"/>
      <c r="E17" s="121">
        <v>10427220.310000001</v>
      </c>
      <c r="F17" s="113" t="s">
        <v>333</v>
      </c>
      <c r="G17" s="113" t="s">
        <v>333</v>
      </c>
      <c r="H17" s="113" t="s">
        <v>333</v>
      </c>
      <c r="I17" s="113" t="s">
        <v>333</v>
      </c>
      <c r="J17" s="113" t="s">
        <v>333</v>
      </c>
      <c r="K17" s="113" t="s">
        <v>333</v>
      </c>
      <c r="L17" s="113" t="s">
        <v>333</v>
      </c>
      <c r="M17" s="113" t="s">
        <v>333</v>
      </c>
      <c r="N17" s="113">
        <v>9646775.9499999993</v>
      </c>
      <c r="O17" s="113">
        <v>201744.36</v>
      </c>
      <c r="P17" s="113">
        <v>578700</v>
      </c>
    </row>
    <row r="18" spans="1:39" s="117" customFormat="1" ht="19.5" x14ac:dyDescent="0.35">
      <c r="A18" s="114" t="s">
        <v>25</v>
      </c>
      <c r="B18" s="115" t="s">
        <v>335</v>
      </c>
      <c r="C18" s="114">
        <v>120</v>
      </c>
      <c r="D18" s="111"/>
      <c r="E18" s="121">
        <f>F18+G18+H18+I18+J18</f>
        <v>61160507.900000006</v>
      </c>
      <c r="F18" s="113">
        <v>5854834.3099999996</v>
      </c>
      <c r="G18" s="113">
        <v>54866573.590000004</v>
      </c>
      <c r="H18" s="113"/>
      <c r="I18" s="113">
        <f t="shared" ref="I18:J18" si="0">I19</f>
        <v>0</v>
      </c>
      <c r="J18" s="113">
        <f t="shared" si="0"/>
        <v>439100</v>
      </c>
      <c r="K18" s="113" t="s">
        <v>333</v>
      </c>
      <c r="L18" s="113" t="s">
        <v>333</v>
      </c>
      <c r="M18" s="113" t="s">
        <v>333</v>
      </c>
      <c r="N18" s="113" t="s">
        <v>333</v>
      </c>
      <c r="O18" s="113" t="s">
        <v>333</v>
      </c>
      <c r="P18" s="113" t="s">
        <v>333</v>
      </c>
    </row>
    <row r="19" spans="1:39" s="26" customFormat="1" ht="19.5" x14ac:dyDescent="0.25">
      <c r="A19" s="114" t="s">
        <v>27</v>
      </c>
      <c r="B19" s="115" t="s">
        <v>18</v>
      </c>
      <c r="C19" s="114"/>
      <c r="D19" s="111"/>
      <c r="E19" s="121">
        <f>F19+G19+H19+I19+J19</f>
        <v>61160507.900000006</v>
      </c>
      <c r="F19" s="113">
        <v>5854834.3099999996</v>
      </c>
      <c r="G19" s="113">
        <v>54866573.590000004</v>
      </c>
      <c r="H19" s="113"/>
      <c r="I19" s="113"/>
      <c r="J19" s="113">
        <f t="shared" ref="J19" si="1">J29</f>
        <v>439100</v>
      </c>
      <c r="K19" s="113" t="s">
        <v>333</v>
      </c>
      <c r="L19" s="113" t="s">
        <v>333</v>
      </c>
      <c r="M19" s="113" t="s">
        <v>333</v>
      </c>
      <c r="N19" s="113" t="s">
        <v>333</v>
      </c>
      <c r="O19" s="113" t="s">
        <v>333</v>
      </c>
      <c r="P19" s="113" t="s">
        <v>333</v>
      </c>
      <c r="Q19" s="98" t="e">
        <f>SUM(E19+#REF!)</f>
        <v>#REF!</v>
      </c>
    </row>
    <row r="20" spans="1:39" s="22" customFormat="1" ht="18.75" x14ac:dyDescent="0.25">
      <c r="A20" s="119" t="s">
        <v>336</v>
      </c>
      <c r="B20" s="120" t="s">
        <v>20</v>
      </c>
      <c r="C20" s="119"/>
      <c r="D20" s="112"/>
      <c r="E20" s="121"/>
      <c r="F20" s="121"/>
      <c r="G20" s="121"/>
      <c r="H20" s="121"/>
      <c r="I20" s="121"/>
      <c r="J20" s="121"/>
      <c r="K20" s="113" t="s">
        <v>333</v>
      </c>
      <c r="L20" s="113" t="s">
        <v>333</v>
      </c>
      <c r="M20" s="113" t="s">
        <v>333</v>
      </c>
      <c r="N20" s="113" t="s">
        <v>333</v>
      </c>
      <c r="O20" s="113" t="s">
        <v>333</v>
      </c>
      <c r="P20" s="113" t="s">
        <v>333</v>
      </c>
      <c r="Q20" s="98" t="e">
        <f>SUM(Q19-5651722221)</f>
        <v>#REF!</v>
      </c>
    </row>
    <row r="21" spans="1:39" s="22" customFormat="1" ht="18.75" x14ac:dyDescent="0.25">
      <c r="A21" s="119" t="s">
        <v>337</v>
      </c>
      <c r="B21" s="120" t="s">
        <v>22</v>
      </c>
      <c r="C21" s="119"/>
      <c r="D21" s="112"/>
      <c r="E21" s="121">
        <f t="shared" ref="E21" si="2">F21+G21+H21+I21+J21</f>
        <v>0</v>
      </c>
      <c r="F21" s="121"/>
      <c r="G21" s="121"/>
      <c r="H21" s="121"/>
      <c r="I21" s="121"/>
      <c r="J21" s="121"/>
      <c r="K21" s="113" t="s">
        <v>333</v>
      </c>
      <c r="L21" s="113" t="s">
        <v>333</v>
      </c>
      <c r="M21" s="113" t="s">
        <v>333</v>
      </c>
      <c r="N21" s="113" t="s">
        <v>333</v>
      </c>
      <c r="O21" s="113" t="s">
        <v>333</v>
      </c>
      <c r="P21" s="113" t="s">
        <v>333</v>
      </c>
    </row>
    <row r="22" spans="1:39" s="22" customFormat="1" ht="39" x14ac:dyDescent="0.25">
      <c r="A22" s="114" t="s">
        <v>205</v>
      </c>
      <c r="B22" s="115" t="s">
        <v>338</v>
      </c>
      <c r="C22" s="114">
        <v>130</v>
      </c>
      <c r="D22" s="112"/>
      <c r="E22" s="121"/>
      <c r="F22" s="122" t="s">
        <v>333</v>
      </c>
      <c r="G22" s="122" t="s">
        <v>333</v>
      </c>
      <c r="H22" s="122" t="s">
        <v>333</v>
      </c>
      <c r="I22" s="122" t="s">
        <v>333</v>
      </c>
      <c r="J22" s="122" t="s">
        <v>333</v>
      </c>
      <c r="K22" s="122" t="s">
        <v>333</v>
      </c>
      <c r="L22" s="122" t="s">
        <v>333</v>
      </c>
      <c r="M22" s="122" t="s">
        <v>333</v>
      </c>
      <c r="N22" s="121"/>
      <c r="O22" s="121"/>
      <c r="P22" s="121"/>
    </row>
    <row r="23" spans="1:39" s="22" customFormat="1" ht="19.5" x14ac:dyDescent="0.25">
      <c r="A23" s="114" t="s">
        <v>206</v>
      </c>
      <c r="B23" s="115" t="s">
        <v>339</v>
      </c>
      <c r="C23" s="114">
        <v>140</v>
      </c>
      <c r="D23" s="112"/>
      <c r="E23" s="121"/>
      <c r="F23" s="122" t="s">
        <v>333</v>
      </c>
      <c r="G23" s="122" t="s">
        <v>333</v>
      </c>
      <c r="H23" s="122" t="s">
        <v>333</v>
      </c>
      <c r="I23" s="122" t="s">
        <v>333</v>
      </c>
      <c r="J23" s="122" t="s">
        <v>333</v>
      </c>
      <c r="K23" s="122" t="s">
        <v>333</v>
      </c>
      <c r="L23" s="122" t="s">
        <v>333</v>
      </c>
      <c r="M23" s="122" t="s">
        <v>333</v>
      </c>
      <c r="N23" s="121"/>
      <c r="O23" s="121"/>
      <c r="P23" s="121"/>
    </row>
    <row r="24" spans="1:39" s="22" customFormat="1" ht="19.5" x14ac:dyDescent="0.25">
      <c r="A24" s="114" t="s">
        <v>229</v>
      </c>
      <c r="B24" s="115" t="s">
        <v>340</v>
      </c>
      <c r="C24" s="114">
        <v>150</v>
      </c>
      <c r="D24" s="112"/>
      <c r="E24" s="121">
        <f>K24+L24</f>
        <v>320000</v>
      </c>
      <c r="F24" s="122" t="s">
        <v>333</v>
      </c>
      <c r="G24" s="122" t="s">
        <v>333</v>
      </c>
      <c r="H24" s="122" t="s">
        <v>333</v>
      </c>
      <c r="I24" s="122" t="s">
        <v>333</v>
      </c>
      <c r="J24" s="122" t="s">
        <v>333</v>
      </c>
      <c r="K24" s="122">
        <f>K29</f>
        <v>320000</v>
      </c>
      <c r="L24" s="122"/>
      <c r="M24" s="122"/>
      <c r="N24" s="122" t="s">
        <v>333</v>
      </c>
      <c r="O24" s="122" t="s">
        <v>333</v>
      </c>
      <c r="P24" s="122" t="s">
        <v>333</v>
      </c>
    </row>
    <row r="25" spans="1:39" s="22" customFormat="1" ht="37.5" x14ac:dyDescent="0.25">
      <c r="A25" s="119" t="s">
        <v>230</v>
      </c>
      <c r="B25" s="120" t="s">
        <v>392</v>
      </c>
      <c r="C25" s="119"/>
      <c r="D25" s="112"/>
      <c r="E25" s="121"/>
      <c r="F25" s="122" t="s">
        <v>333</v>
      </c>
      <c r="G25" s="122" t="s">
        <v>333</v>
      </c>
      <c r="H25" s="122" t="s">
        <v>333</v>
      </c>
      <c r="I25" s="122" t="s">
        <v>333</v>
      </c>
      <c r="J25" s="122" t="s">
        <v>333</v>
      </c>
      <c r="K25" s="122"/>
      <c r="L25" s="122"/>
      <c r="M25" s="122"/>
      <c r="N25" s="122" t="s">
        <v>333</v>
      </c>
      <c r="O25" s="122" t="s">
        <v>333</v>
      </c>
      <c r="P25" s="122" t="s">
        <v>333</v>
      </c>
    </row>
    <row r="26" spans="1:39" s="22" customFormat="1" ht="18.75" x14ac:dyDescent="0.25">
      <c r="A26" s="119" t="s">
        <v>231</v>
      </c>
      <c r="B26" s="120" t="s">
        <v>329</v>
      </c>
      <c r="C26" s="119"/>
      <c r="D26" s="112"/>
      <c r="E26" s="121"/>
      <c r="F26" s="122" t="s">
        <v>333</v>
      </c>
      <c r="G26" s="122" t="s">
        <v>333</v>
      </c>
      <c r="H26" s="122" t="s">
        <v>333</v>
      </c>
      <c r="I26" s="122" t="s">
        <v>333</v>
      </c>
      <c r="J26" s="122" t="s">
        <v>333</v>
      </c>
      <c r="K26" s="122"/>
      <c r="L26" s="122"/>
      <c r="M26" s="122"/>
      <c r="N26" s="122" t="s">
        <v>333</v>
      </c>
      <c r="O26" s="122" t="s">
        <v>333</v>
      </c>
      <c r="P26" s="122" t="s">
        <v>333</v>
      </c>
    </row>
    <row r="27" spans="1:39" s="22" customFormat="1" ht="19.5" x14ac:dyDescent="0.25">
      <c r="A27" s="114" t="s">
        <v>229</v>
      </c>
      <c r="B27" s="115" t="s">
        <v>341</v>
      </c>
      <c r="C27" s="114">
        <v>160</v>
      </c>
      <c r="D27" s="112"/>
      <c r="E27" s="121"/>
      <c r="F27" s="122" t="s">
        <v>333</v>
      </c>
      <c r="G27" s="122" t="s">
        <v>333</v>
      </c>
      <c r="H27" s="122" t="s">
        <v>333</v>
      </c>
      <c r="I27" s="122" t="s">
        <v>333</v>
      </c>
      <c r="J27" s="122" t="s">
        <v>333</v>
      </c>
      <c r="K27" s="122" t="s">
        <v>333</v>
      </c>
      <c r="L27" s="122" t="s">
        <v>333</v>
      </c>
      <c r="M27" s="122" t="s">
        <v>333</v>
      </c>
      <c r="N27" s="121"/>
      <c r="O27" s="121"/>
      <c r="P27" s="121"/>
    </row>
    <row r="28" spans="1:39" s="26" customFormat="1" ht="19.5" x14ac:dyDescent="0.25">
      <c r="A28" s="114" t="s">
        <v>342</v>
      </c>
      <c r="B28" s="115" t="s">
        <v>343</v>
      </c>
      <c r="C28" s="114">
        <v>180</v>
      </c>
      <c r="D28" s="111"/>
      <c r="E28" s="121"/>
      <c r="F28" s="122" t="s">
        <v>333</v>
      </c>
      <c r="G28" s="122" t="s">
        <v>333</v>
      </c>
      <c r="H28" s="122" t="s">
        <v>333</v>
      </c>
      <c r="I28" s="122" t="s">
        <v>333</v>
      </c>
      <c r="J28" s="122" t="s">
        <v>333</v>
      </c>
      <c r="K28" s="122" t="s">
        <v>333</v>
      </c>
      <c r="L28" s="122" t="s">
        <v>333</v>
      </c>
      <c r="M28" s="122" t="s">
        <v>333</v>
      </c>
      <c r="N28" s="122"/>
      <c r="O28" s="122"/>
      <c r="P28" s="122"/>
    </row>
    <row r="29" spans="1:39" s="26" customFormat="1" ht="20.25" x14ac:dyDescent="0.25">
      <c r="A29" s="163" t="s">
        <v>325</v>
      </c>
      <c r="B29" s="163"/>
      <c r="C29" s="123">
        <v>200</v>
      </c>
      <c r="D29" s="124"/>
      <c r="E29" s="155">
        <f>E30+E60+E185</f>
        <v>68498302.310000002</v>
      </c>
      <c r="F29" s="155">
        <f>F30+F60+F185</f>
        <v>6209099.3100000005</v>
      </c>
      <c r="G29" s="155">
        <f>G30+G60+G185</f>
        <v>51242800</v>
      </c>
      <c r="H29" s="155"/>
      <c r="I29" s="155">
        <f t="shared" ref="I29:K29" si="3">I30+I60+I185</f>
        <v>82203</v>
      </c>
      <c r="J29" s="155">
        <f t="shared" si="3"/>
        <v>439100</v>
      </c>
      <c r="K29" s="155">
        <f t="shared" si="3"/>
        <v>320000</v>
      </c>
      <c r="L29" s="126"/>
      <c r="M29" s="126"/>
      <c r="N29" s="155">
        <f>N185</f>
        <v>9825100</v>
      </c>
      <c r="O29" s="155"/>
      <c r="P29" s="155">
        <f t="shared" ref="P29" si="4">P185</f>
        <v>700000</v>
      </c>
    </row>
    <row r="30" spans="1:39" s="26" customFormat="1" ht="27.75" customHeight="1" x14ac:dyDescent="0.25">
      <c r="A30" s="118" t="s">
        <v>17</v>
      </c>
      <c r="B30" s="108" t="s">
        <v>18</v>
      </c>
      <c r="C30" s="114"/>
      <c r="D30" s="114"/>
      <c r="E30" s="33">
        <f>F30+G30+I30+J30</f>
        <v>57973202.310000002</v>
      </c>
      <c r="F30" s="78">
        <f>F31</f>
        <v>6209099.3100000005</v>
      </c>
      <c r="G30" s="78">
        <f>G32+G40</f>
        <v>51242800</v>
      </c>
      <c r="H30" s="78"/>
      <c r="I30" s="78">
        <f>I36</f>
        <v>82203</v>
      </c>
      <c r="J30" s="78">
        <f>J40</f>
        <v>439100</v>
      </c>
      <c r="K30" s="78"/>
      <c r="L30" s="78"/>
      <c r="M30" s="78"/>
      <c r="N30" s="78"/>
      <c r="O30" s="78"/>
      <c r="P30" s="78"/>
      <c r="AM30" s="26">
        <v>173284000</v>
      </c>
    </row>
    <row r="31" spans="1:39" s="26" customFormat="1" ht="19.5" x14ac:dyDescent="0.25">
      <c r="A31" s="114" t="s">
        <v>19</v>
      </c>
      <c r="B31" s="115" t="s">
        <v>20</v>
      </c>
      <c r="C31" s="114"/>
      <c r="D31" s="114"/>
      <c r="E31" s="33">
        <f t="shared" ref="E31:E59" si="5">F31+G31+I31+J31</f>
        <v>6209099.3100000005</v>
      </c>
      <c r="F31" s="78">
        <f>F40</f>
        <v>6209099.3100000005</v>
      </c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1:39" s="26" customFormat="1" ht="19.5" x14ac:dyDescent="0.25">
      <c r="A32" s="119" t="s">
        <v>46</v>
      </c>
      <c r="B32" s="115" t="s">
        <v>344</v>
      </c>
      <c r="C32" s="114">
        <v>210</v>
      </c>
      <c r="D32" s="114"/>
      <c r="E32" s="33">
        <f t="shared" si="5"/>
        <v>50931700</v>
      </c>
      <c r="F32" s="78"/>
      <c r="G32" s="78">
        <f>G33</f>
        <v>50931700</v>
      </c>
      <c r="H32" s="78"/>
      <c r="I32" s="78"/>
      <c r="J32" s="78"/>
      <c r="K32" s="78"/>
      <c r="L32" s="78"/>
      <c r="M32" s="78"/>
      <c r="N32" s="78"/>
      <c r="O32" s="78"/>
      <c r="P32" s="78"/>
    </row>
    <row r="33" spans="1:16" s="26" customFormat="1" ht="19.5" x14ac:dyDescent="0.25">
      <c r="A33" s="114"/>
      <c r="B33" s="115" t="s">
        <v>345</v>
      </c>
      <c r="C33" s="114">
        <v>211</v>
      </c>
      <c r="D33" s="114"/>
      <c r="E33" s="33">
        <f t="shared" si="5"/>
        <v>50931700</v>
      </c>
      <c r="F33" s="78"/>
      <c r="G33" s="78">
        <f>G34+G35</f>
        <v>50931700</v>
      </c>
      <c r="H33" s="78"/>
      <c r="I33" s="78"/>
      <c r="J33" s="78"/>
      <c r="K33" s="78"/>
      <c r="L33" s="78"/>
      <c r="M33" s="78"/>
      <c r="N33" s="78"/>
      <c r="O33" s="78"/>
      <c r="P33" s="78"/>
    </row>
    <row r="34" spans="1:16" s="22" customFormat="1" ht="18.75" x14ac:dyDescent="0.25">
      <c r="A34" s="119"/>
      <c r="B34" s="120" t="s">
        <v>47</v>
      </c>
      <c r="C34" s="119"/>
      <c r="D34" s="119">
        <v>211</v>
      </c>
      <c r="E34" s="33">
        <f t="shared" si="5"/>
        <v>39485000</v>
      </c>
      <c r="F34" s="33"/>
      <c r="G34" s="33">
        <v>39485000</v>
      </c>
      <c r="H34" s="33"/>
      <c r="I34" s="33"/>
      <c r="J34" s="33"/>
      <c r="K34" s="33"/>
      <c r="L34" s="33"/>
      <c r="M34" s="33"/>
      <c r="N34" s="33"/>
      <c r="O34" s="33"/>
      <c r="P34" s="33"/>
    </row>
    <row r="35" spans="1:16" s="22" customFormat="1" ht="18.75" x14ac:dyDescent="0.25">
      <c r="A35" s="119"/>
      <c r="B35" s="120" t="s">
        <v>51</v>
      </c>
      <c r="C35" s="119"/>
      <c r="D35" s="119">
        <v>213</v>
      </c>
      <c r="E35" s="33">
        <f t="shared" si="5"/>
        <v>11446700</v>
      </c>
      <c r="F35" s="33"/>
      <c r="G35" s="33">
        <v>11446700</v>
      </c>
      <c r="H35" s="33"/>
      <c r="I35" s="33"/>
      <c r="J35" s="33"/>
      <c r="K35" s="33"/>
      <c r="L35" s="33"/>
      <c r="M35" s="33"/>
      <c r="N35" s="33"/>
      <c r="O35" s="33"/>
      <c r="P35" s="33"/>
    </row>
    <row r="36" spans="1:16" s="22" customFormat="1" ht="19.5" x14ac:dyDescent="0.25">
      <c r="A36" s="119" t="s">
        <v>48</v>
      </c>
      <c r="B36" s="115" t="s">
        <v>346</v>
      </c>
      <c r="C36" s="114">
        <v>220</v>
      </c>
      <c r="D36" s="119"/>
      <c r="E36" s="33">
        <f t="shared" si="5"/>
        <v>82203</v>
      </c>
      <c r="F36" s="33"/>
      <c r="G36" s="33"/>
      <c r="H36" s="33"/>
      <c r="I36" s="33">
        <f>I37</f>
        <v>82203</v>
      </c>
      <c r="J36" s="33"/>
      <c r="K36" s="33"/>
      <c r="L36" s="33"/>
      <c r="M36" s="33"/>
      <c r="N36" s="33"/>
      <c r="O36" s="33"/>
      <c r="P36" s="33"/>
    </row>
    <row r="37" spans="1:16" s="22" customFormat="1" ht="18.75" x14ac:dyDescent="0.25">
      <c r="A37" s="119"/>
      <c r="B37" s="120" t="s">
        <v>49</v>
      </c>
      <c r="C37" s="119"/>
      <c r="D37" s="119">
        <v>212</v>
      </c>
      <c r="E37" s="33">
        <f t="shared" si="5"/>
        <v>82203</v>
      </c>
      <c r="F37" s="33"/>
      <c r="G37" s="33"/>
      <c r="H37" s="33"/>
      <c r="I37" s="33">
        <v>82203</v>
      </c>
      <c r="J37" s="33"/>
      <c r="K37" s="33"/>
      <c r="L37" s="33"/>
      <c r="M37" s="33"/>
      <c r="N37" s="33"/>
      <c r="O37" s="33"/>
      <c r="P37" s="33"/>
    </row>
    <row r="38" spans="1:16" s="22" customFormat="1" ht="19.5" x14ac:dyDescent="0.25">
      <c r="A38" s="119" t="s">
        <v>50</v>
      </c>
      <c r="B38" s="115" t="s">
        <v>347</v>
      </c>
      <c r="C38" s="114">
        <v>230</v>
      </c>
      <c r="D38" s="119"/>
      <c r="E38" s="33">
        <f t="shared" si="5"/>
        <v>0</v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1:16" s="22" customFormat="1" ht="18.75" x14ac:dyDescent="0.25">
      <c r="A39" s="119"/>
      <c r="B39" s="120" t="s">
        <v>68</v>
      </c>
      <c r="C39" s="119"/>
      <c r="D39" s="119">
        <v>290</v>
      </c>
      <c r="E39" s="33">
        <f t="shared" si="5"/>
        <v>0</v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</row>
    <row r="40" spans="1:16" s="22" customFormat="1" ht="19.5" x14ac:dyDescent="0.25">
      <c r="A40" s="119" t="s">
        <v>52</v>
      </c>
      <c r="B40" s="115" t="s">
        <v>348</v>
      </c>
      <c r="C40" s="114">
        <v>260</v>
      </c>
      <c r="D40" s="119"/>
      <c r="E40" s="33">
        <f t="shared" si="5"/>
        <v>6959299.3100000005</v>
      </c>
      <c r="F40" s="33">
        <f>F41+F43+F48+F49+F51+F54+F52+F56</f>
        <v>6209099.3100000005</v>
      </c>
      <c r="G40" s="33">
        <f>G49+G50+G51</f>
        <v>311100</v>
      </c>
      <c r="H40" s="33"/>
      <c r="I40" s="33"/>
      <c r="J40" s="33">
        <f>J41+J43+J48+J49+J51+J54+J52+J56</f>
        <v>439100</v>
      </c>
      <c r="K40" s="33"/>
      <c r="L40" s="33"/>
      <c r="M40" s="33"/>
      <c r="N40" s="33"/>
      <c r="O40" s="33"/>
      <c r="P40" s="33"/>
    </row>
    <row r="41" spans="1:16" s="22" customFormat="1" ht="18.75" x14ac:dyDescent="0.25">
      <c r="A41" s="119" t="s">
        <v>349</v>
      </c>
      <c r="B41" s="120" t="s">
        <v>53</v>
      </c>
      <c r="C41" s="119"/>
      <c r="D41" s="119">
        <v>221</v>
      </c>
      <c r="E41" s="33">
        <f t="shared" si="5"/>
        <v>55667.8</v>
      </c>
      <c r="F41" s="33">
        <v>55667.8</v>
      </c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1:16" s="22" customFormat="1" ht="18.75" x14ac:dyDescent="0.25">
      <c r="A42" s="119" t="s">
        <v>350</v>
      </c>
      <c r="B42" s="120" t="s">
        <v>55</v>
      </c>
      <c r="C42" s="119"/>
      <c r="D42" s="119">
        <v>222</v>
      </c>
      <c r="E42" s="33">
        <f t="shared" si="5"/>
        <v>0</v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1:16" s="22" customFormat="1" ht="18.75" x14ac:dyDescent="0.25">
      <c r="A43" s="119" t="s">
        <v>351</v>
      </c>
      <c r="B43" s="120" t="s">
        <v>57</v>
      </c>
      <c r="C43" s="119"/>
      <c r="D43" s="119">
        <v>223</v>
      </c>
      <c r="E43" s="33">
        <f t="shared" si="5"/>
        <v>3301963.5100000002</v>
      </c>
      <c r="F43" s="33">
        <f>F44+F45+F46</f>
        <v>3301963.5100000002</v>
      </c>
      <c r="G43" s="33"/>
      <c r="H43" s="33"/>
      <c r="I43" s="33"/>
      <c r="J43" s="33"/>
      <c r="K43" s="33"/>
      <c r="L43" s="33"/>
      <c r="M43" s="33"/>
      <c r="N43" s="33"/>
      <c r="O43" s="33"/>
      <c r="P43" s="33"/>
    </row>
    <row r="44" spans="1:16" s="22" customFormat="1" ht="18.75" x14ac:dyDescent="0.25">
      <c r="A44" s="119"/>
      <c r="B44" s="120" t="s">
        <v>58</v>
      </c>
      <c r="C44" s="119"/>
      <c r="D44" s="119">
        <v>223</v>
      </c>
      <c r="E44" s="33">
        <f t="shared" si="5"/>
        <v>2138049.16</v>
      </c>
      <c r="F44" s="33">
        <v>2138049.16</v>
      </c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6" s="22" customFormat="1" ht="18.75" x14ac:dyDescent="0.25">
      <c r="A45" s="119"/>
      <c r="B45" s="120" t="s">
        <v>59</v>
      </c>
      <c r="C45" s="119"/>
      <c r="D45" s="119">
        <v>223</v>
      </c>
      <c r="E45" s="33">
        <f t="shared" si="5"/>
        <v>1086103.25</v>
      </c>
      <c r="F45" s="33">
        <v>1086103.25</v>
      </c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s="22" customFormat="1" ht="18.75" x14ac:dyDescent="0.25">
      <c r="A46" s="119"/>
      <c r="B46" s="120" t="s">
        <v>60</v>
      </c>
      <c r="C46" s="119"/>
      <c r="D46" s="119">
        <v>223</v>
      </c>
      <c r="E46" s="33">
        <f t="shared" si="5"/>
        <v>77811.100000000006</v>
      </c>
      <c r="F46" s="33">
        <v>77811.100000000006</v>
      </c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1:16" s="22" customFormat="1" ht="18.75" x14ac:dyDescent="0.25">
      <c r="A47" s="119" t="s">
        <v>352</v>
      </c>
      <c r="B47" s="120" t="s">
        <v>62</v>
      </c>
      <c r="C47" s="119"/>
      <c r="D47" s="119">
        <v>224</v>
      </c>
      <c r="E47" s="33">
        <f t="shared" si="5"/>
        <v>0</v>
      </c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1:16" s="22" customFormat="1" ht="18.75" x14ac:dyDescent="0.25">
      <c r="A48" s="119" t="s">
        <v>353</v>
      </c>
      <c r="B48" s="120" t="s">
        <v>64</v>
      </c>
      <c r="C48" s="119"/>
      <c r="D48" s="119">
        <v>225</v>
      </c>
      <c r="E48" s="33">
        <f t="shared" si="5"/>
        <v>255960</v>
      </c>
      <c r="F48" s="33">
        <v>255960</v>
      </c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s="22" customFormat="1" ht="18.75" x14ac:dyDescent="0.25">
      <c r="A49" s="119" t="s">
        <v>354</v>
      </c>
      <c r="B49" s="120" t="s">
        <v>66</v>
      </c>
      <c r="C49" s="119"/>
      <c r="D49" s="119">
        <v>226</v>
      </c>
      <c r="E49" s="33">
        <f t="shared" si="5"/>
        <v>263842</v>
      </c>
      <c r="F49" s="33">
        <v>240842</v>
      </c>
      <c r="G49" s="33">
        <v>23000</v>
      </c>
      <c r="H49" s="33"/>
      <c r="I49" s="33"/>
      <c r="J49" s="33"/>
      <c r="K49" s="33"/>
      <c r="L49" s="33"/>
      <c r="M49" s="33"/>
      <c r="N49" s="33"/>
      <c r="O49" s="33"/>
      <c r="P49" s="33"/>
    </row>
    <row r="50" spans="1:16" s="22" customFormat="1" ht="18.75" x14ac:dyDescent="0.25">
      <c r="A50" s="119" t="s">
        <v>355</v>
      </c>
      <c r="B50" s="120" t="s">
        <v>70</v>
      </c>
      <c r="C50" s="119"/>
      <c r="D50" s="119">
        <v>310</v>
      </c>
      <c r="E50" s="33">
        <f t="shared" si="5"/>
        <v>202200</v>
      </c>
      <c r="F50" s="33"/>
      <c r="G50" s="33">
        <v>202200</v>
      </c>
      <c r="H50" s="33"/>
      <c r="I50" s="33"/>
      <c r="J50" s="33"/>
      <c r="K50" s="33"/>
      <c r="L50" s="33"/>
      <c r="M50" s="33"/>
      <c r="N50" s="33"/>
      <c r="O50" s="33"/>
      <c r="P50" s="33"/>
    </row>
    <row r="51" spans="1:16" s="22" customFormat="1" ht="18.75" x14ac:dyDescent="0.25">
      <c r="A51" s="119" t="s">
        <v>356</v>
      </c>
      <c r="B51" s="120" t="s">
        <v>74</v>
      </c>
      <c r="C51" s="119"/>
      <c r="D51" s="119">
        <v>340</v>
      </c>
      <c r="E51" s="33">
        <f t="shared" si="5"/>
        <v>85900</v>
      </c>
      <c r="F51" s="33"/>
      <c r="G51" s="33">
        <v>85900</v>
      </c>
      <c r="H51" s="33"/>
      <c r="I51" s="33"/>
      <c r="J51" s="33"/>
      <c r="K51" s="33"/>
      <c r="L51" s="33"/>
      <c r="M51" s="33"/>
      <c r="N51" s="33"/>
      <c r="O51" s="33"/>
      <c r="P51" s="33"/>
    </row>
    <row r="52" spans="1:16" s="22" customFormat="1" ht="18.75" x14ac:dyDescent="0.25">
      <c r="A52" s="119" t="s">
        <v>357</v>
      </c>
      <c r="B52" s="120" t="s">
        <v>79</v>
      </c>
      <c r="C52" s="119"/>
      <c r="D52" s="119"/>
      <c r="E52" s="33">
        <f t="shared" si="5"/>
        <v>213000</v>
      </c>
      <c r="F52" s="33">
        <v>213000</v>
      </c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1:16" s="22" customFormat="1" ht="18.75" x14ac:dyDescent="0.25">
      <c r="A53" s="119"/>
      <c r="B53" s="120" t="s">
        <v>66</v>
      </c>
      <c r="C53" s="119"/>
      <c r="D53" s="119">
        <v>226</v>
      </c>
      <c r="E53" s="33">
        <f t="shared" si="5"/>
        <v>0</v>
      </c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1:16" s="22" customFormat="1" ht="18.75" x14ac:dyDescent="0.25">
      <c r="A54" s="119"/>
      <c r="B54" s="128" t="s">
        <v>74</v>
      </c>
      <c r="C54" s="129"/>
      <c r="D54" s="119">
        <v>340</v>
      </c>
      <c r="E54" s="33">
        <f t="shared" si="5"/>
        <v>739700</v>
      </c>
      <c r="F54" s="33">
        <v>300600</v>
      </c>
      <c r="G54" s="33"/>
      <c r="H54" s="33"/>
      <c r="I54" s="33"/>
      <c r="J54" s="33">
        <v>439100</v>
      </c>
      <c r="K54" s="33"/>
      <c r="L54" s="33"/>
      <c r="M54" s="33"/>
      <c r="N54" s="33"/>
      <c r="O54" s="33"/>
      <c r="P54" s="33"/>
    </row>
    <row r="55" spans="1:16" s="22" customFormat="1" ht="18.75" x14ac:dyDescent="0.25">
      <c r="A55" s="119" t="s">
        <v>358</v>
      </c>
      <c r="B55" s="120" t="s">
        <v>24</v>
      </c>
      <c r="C55" s="119"/>
      <c r="D55" s="119">
        <v>340</v>
      </c>
      <c r="E55" s="33">
        <f t="shared" si="5"/>
        <v>0</v>
      </c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</row>
    <row r="56" spans="1:16" s="26" customFormat="1" ht="19.5" x14ac:dyDescent="0.25">
      <c r="A56" s="130" t="s">
        <v>21</v>
      </c>
      <c r="B56" s="115" t="s">
        <v>22</v>
      </c>
      <c r="C56" s="114">
        <v>230</v>
      </c>
      <c r="D56" s="114">
        <v>290</v>
      </c>
      <c r="E56" s="33">
        <f t="shared" si="5"/>
        <v>1841066</v>
      </c>
      <c r="F56" s="78">
        <f>F57+F58+F59</f>
        <v>1841066</v>
      </c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1:16" s="22" customFormat="1" ht="18.75" x14ac:dyDescent="0.25">
      <c r="A57" s="127" t="s">
        <v>359</v>
      </c>
      <c r="B57" s="120" t="s">
        <v>80</v>
      </c>
      <c r="C57" s="119"/>
      <c r="D57" s="119">
        <v>290</v>
      </c>
      <c r="E57" s="33">
        <f t="shared" si="5"/>
        <v>0</v>
      </c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6" s="22" customFormat="1" ht="18.75" x14ac:dyDescent="0.25">
      <c r="A58" s="127" t="s">
        <v>360</v>
      </c>
      <c r="B58" s="120" t="s">
        <v>81</v>
      </c>
      <c r="C58" s="119"/>
      <c r="D58" s="119">
        <v>290</v>
      </c>
      <c r="E58" s="33">
        <f t="shared" si="5"/>
        <v>1841066</v>
      </c>
      <c r="F58" s="33">
        <v>1841066</v>
      </c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s="22" customFormat="1" ht="18.75" x14ac:dyDescent="0.25">
      <c r="A59" s="127" t="s">
        <v>361</v>
      </c>
      <c r="B59" s="28" t="s">
        <v>82</v>
      </c>
      <c r="C59" s="112"/>
      <c r="D59" s="119">
        <v>290</v>
      </c>
      <c r="E59" s="33">
        <f t="shared" si="5"/>
        <v>0</v>
      </c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</row>
    <row r="60" spans="1:16" s="152" customFormat="1" ht="22.5" customHeight="1" x14ac:dyDescent="0.3">
      <c r="A60" s="149" t="s">
        <v>25</v>
      </c>
      <c r="B60" s="106" t="s">
        <v>26</v>
      </c>
      <c r="C60" s="57"/>
      <c r="D60" s="57"/>
      <c r="E60" s="150">
        <f>E61+E62+E63+E64</f>
        <v>0</v>
      </c>
      <c r="F60" s="150">
        <f>F61+F62+F63+F64</f>
        <v>0</v>
      </c>
      <c r="G60" s="150"/>
      <c r="H60" s="150"/>
      <c r="I60" s="150"/>
      <c r="J60" s="150"/>
      <c r="K60" s="150">
        <f t="shared" ref="K60" si="6">K61+K62+K63+K64</f>
        <v>320000</v>
      </c>
      <c r="L60" s="150"/>
      <c r="M60" s="150"/>
      <c r="N60" s="151"/>
      <c r="O60" s="151"/>
      <c r="P60" s="151"/>
    </row>
    <row r="61" spans="1:16" s="26" customFormat="1" ht="39" x14ac:dyDescent="0.25">
      <c r="A61" s="130" t="s">
        <v>27</v>
      </c>
      <c r="B61" s="115" t="s">
        <v>383</v>
      </c>
      <c r="C61" s="114"/>
      <c r="D61" s="114"/>
      <c r="E61" s="33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1:16" s="26" customFormat="1" ht="39" x14ac:dyDescent="0.25">
      <c r="A62" s="130" t="s">
        <v>384</v>
      </c>
      <c r="B62" s="115" t="s">
        <v>385</v>
      </c>
      <c r="C62" s="114">
        <v>225</v>
      </c>
      <c r="D62" s="114">
        <v>225</v>
      </c>
      <c r="E62" s="33">
        <f>F62</f>
        <v>0</v>
      </c>
      <c r="F62" s="78"/>
      <c r="G62" s="78"/>
      <c r="H62" s="78"/>
      <c r="I62" s="78"/>
      <c r="J62" s="78"/>
      <c r="K62" s="78">
        <v>320000</v>
      </c>
      <c r="L62" s="78"/>
      <c r="M62" s="78"/>
      <c r="N62" s="78"/>
      <c r="O62" s="78"/>
      <c r="P62" s="78"/>
    </row>
    <row r="63" spans="1:16" s="26" customFormat="1" ht="19.5" x14ac:dyDescent="0.25">
      <c r="A63" s="130" t="s">
        <v>386</v>
      </c>
      <c r="B63" s="115" t="s">
        <v>387</v>
      </c>
      <c r="C63" s="114">
        <v>310</v>
      </c>
      <c r="D63" s="114">
        <v>310</v>
      </c>
      <c r="E63" s="33">
        <f t="shared" ref="E63:E64" si="7">F63</f>
        <v>0</v>
      </c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1:16" s="26" customFormat="1" ht="19.5" x14ac:dyDescent="0.25">
      <c r="A64" s="130" t="s">
        <v>388</v>
      </c>
      <c r="B64" s="120" t="s">
        <v>389</v>
      </c>
      <c r="C64" s="119">
        <v>226</v>
      </c>
      <c r="D64" s="119">
        <v>226</v>
      </c>
      <c r="E64" s="33">
        <f t="shared" si="7"/>
        <v>0</v>
      </c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1:16" s="26" customFormat="1" ht="19.5" x14ac:dyDescent="0.25">
      <c r="A65" s="130" t="s">
        <v>330</v>
      </c>
      <c r="B65" s="120"/>
      <c r="C65" s="119"/>
      <c r="D65" s="119"/>
      <c r="E65" s="33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1:16" s="26" customFormat="1" ht="19.5" x14ac:dyDescent="0.25">
      <c r="A66" s="130" t="s">
        <v>330</v>
      </c>
      <c r="B66" s="115" t="s">
        <v>346</v>
      </c>
      <c r="C66" s="114">
        <v>220</v>
      </c>
      <c r="D66" s="119"/>
      <c r="E66" s="19">
        <f>E67</f>
        <v>0</v>
      </c>
      <c r="F66" s="19">
        <f>F67</f>
        <v>0</v>
      </c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1:16" s="26" customFormat="1" ht="75" x14ac:dyDescent="0.25">
      <c r="A67" s="130" t="s">
        <v>390</v>
      </c>
      <c r="B67" s="120" t="s">
        <v>391</v>
      </c>
      <c r="C67" s="119"/>
      <c r="D67" s="119">
        <v>212</v>
      </c>
      <c r="E67" s="33">
        <f>I67</f>
        <v>0</v>
      </c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1:16" s="26" customFormat="1" ht="19.5" x14ac:dyDescent="0.25">
      <c r="A68" s="130" t="s">
        <v>330</v>
      </c>
      <c r="B68" s="115" t="s">
        <v>348</v>
      </c>
      <c r="C68" s="114">
        <v>260</v>
      </c>
      <c r="D68" s="114"/>
      <c r="E68" s="33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1:16" s="26" customFormat="1" ht="19.5" x14ac:dyDescent="0.25">
      <c r="A69" s="130" t="s">
        <v>330</v>
      </c>
      <c r="B69" s="131" t="s">
        <v>331</v>
      </c>
      <c r="C69" s="114"/>
      <c r="D69" s="114"/>
      <c r="E69" s="33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1:16" s="26" customFormat="1" ht="18.75" x14ac:dyDescent="0.25">
      <c r="A70" s="132"/>
      <c r="B70" s="120"/>
      <c r="C70" s="119"/>
      <c r="D70" s="119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1:16" s="26" customFormat="1" ht="18.75" x14ac:dyDescent="0.25">
      <c r="A71" s="127"/>
      <c r="B71" s="120"/>
      <c r="C71" s="119"/>
      <c r="D71" s="119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</row>
    <row r="72" spans="1:16" s="26" customFormat="1" ht="19.5" x14ac:dyDescent="0.25">
      <c r="A72" s="130" t="s">
        <v>88</v>
      </c>
      <c r="B72" s="115" t="s">
        <v>89</v>
      </c>
      <c r="C72" s="114"/>
      <c r="D72" s="114"/>
      <c r="E72" s="33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1:16" s="26" customFormat="1" ht="18.75" x14ac:dyDescent="0.25">
      <c r="A73" s="127" t="s">
        <v>90</v>
      </c>
      <c r="B73" s="120" t="s">
        <v>298</v>
      </c>
      <c r="C73" s="119">
        <v>225</v>
      </c>
      <c r="D73" s="119"/>
      <c r="E73" s="33">
        <v>4800000</v>
      </c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</row>
    <row r="74" spans="1:16" s="26" customFormat="1" ht="18.75" x14ac:dyDescent="0.25">
      <c r="A74" s="127" t="s">
        <v>90</v>
      </c>
      <c r="B74" s="120" t="s">
        <v>87</v>
      </c>
      <c r="C74" s="119"/>
      <c r="D74" s="119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  <row r="75" spans="1:16" s="26" customFormat="1" ht="18.75" x14ac:dyDescent="0.25">
      <c r="A75" s="127" t="s">
        <v>92</v>
      </c>
      <c r="B75" s="120" t="s">
        <v>93</v>
      </c>
      <c r="C75" s="119"/>
      <c r="D75" s="119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s="26" customFormat="1" ht="18.75" x14ac:dyDescent="0.25">
      <c r="A76" s="127" t="s">
        <v>94</v>
      </c>
      <c r="B76" s="120" t="s">
        <v>95</v>
      </c>
      <c r="C76" s="119"/>
      <c r="D76" s="119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1:16" s="26" customFormat="1" ht="37.5" x14ac:dyDescent="0.25">
      <c r="A77" s="127" t="s">
        <v>96</v>
      </c>
      <c r="B77" s="120" t="s">
        <v>97</v>
      </c>
      <c r="C77" s="119"/>
      <c r="D77" s="119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</row>
    <row r="78" spans="1:16" s="26" customFormat="1" ht="37.5" x14ac:dyDescent="0.25">
      <c r="A78" s="127" t="s">
        <v>96</v>
      </c>
      <c r="B78" s="120" t="s">
        <v>97</v>
      </c>
      <c r="C78" s="119"/>
      <c r="D78" s="119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</row>
    <row r="79" spans="1:16" s="26" customFormat="1" ht="37.5" x14ac:dyDescent="0.25">
      <c r="A79" s="127" t="s">
        <v>96</v>
      </c>
      <c r="B79" s="120" t="s">
        <v>97</v>
      </c>
      <c r="C79" s="119"/>
      <c r="D79" s="119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</row>
    <row r="80" spans="1:16" s="26" customFormat="1" ht="18.75" x14ac:dyDescent="0.25">
      <c r="A80" s="127" t="s">
        <v>98</v>
      </c>
      <c r="B80" s="120" t="s">
        <v>99</v>
      </c>
      <c r="C80" s="119"/>
      <c r="D80" s="119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</row>
    <row r="81" spans="1:16" s="26" customFormat="1" ht="18.75" x14ac:dyDescent="0.25">
      <c r="A81" s="127" t="s">
        <v>98</v>
      </c>
      <c r="B81" s="120" t="s">
        <v>99</v>
      </c>
      <c r="C81" s="119"/>
      <c r="D81" s="119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</row>
    <row r="82" spans="1:16" s="27" customFormat="1" ht="19.5" x14ac:dyDescent="0.25">
      <c r="A82" s="133" t="s">
        <v>100</v>
      </c>
      <c r="B82" s="134" t="s">
        <v>101</v>
      </c>
      <c r="C82" s="135"/>
      <c r="D82" s="135"/>
      <c r="E82" s="33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</row>
    <row r="83" spans="1:16" s="27" customFormat="1" ht="37.5" x14ac:dyDescent="0.25">
      <c r="A83" s="136" t="s">
        <v>102</v>
      </c>
      <c r="B83" s="128" t="s">
        <v>103</v>
      </c>
      <c r="C83" s="129"/>
      <c r="D83" s="129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</row>
    <row r="84" spans="1:16" s="27" customFormat="1" ht="37.5" x14ac:dyDescent="0.25">
      <c r="A84" s="136" t="s">
        <v>102</v>
      </c>
      <c r="B84" s="128" t="s">
        <v>103</v>
      </c>
      <c r="C84" s="129"/>
      <c r="D84" s="129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</row>
    <row r="85" spans="1:16" s="27" customFormat="1" ht="18.75" x14ac:dyDescent="0.25">
      <c r="A85" s="136" t="s">
        <v>104</v>
      </c>
      <c r="B85" s="128" t="s">
        <v>105</v>
      </c>
      <c r="C85" s="129"/>
      <c r="D85" s="129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</row>
    <row r="86" spans="1:16" s="27" customFormat="1" ht="18.75" x14ac:dyDescent="0.25">
      <c r="A86" s="136" t="s">
        <v>104</v>
      </c>
      <c r="B86" s="128" t="s">
        <v>105</v>
      </c>
      <c r="C86" s="129"/>
      <c r="D86" s="129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</row>
    <row r="87" spans="1:16" s="27" customFormat="1" ht="37.5" x14ac:dyDescent="0.25">
      <c r="A87" s="136" t="s">
        <v>106</v>
      </c>
      <c r="B87" s="120" t="s">
        <v>107</v>
      </c>
      <c r="C87" s="119"/>
      <c r="D87" s="129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</row>
    <row r="88" spans="1:16" s="27" customFormat="1" ht="18.75" x14ac:dyDescent="0.25">
      <c r="A88" s="136" t="s">
        <v>108</v>
      </c>
      <c r="B88" s="128" t="s">
        <v>299</v>
      </c>
      <c r="C88" s="129"/>
      <c r="D88" s="129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</row>
    <row r="89" spans="1:16" s="27" customFormat="1" ht="18.75" x14ac:dyDescent="0.25">
      <c r="A89" s="136" t="s">
        <v>108</v>
      </c>
      <c r="B89" s="128" t="s">
        <v>299</v>
      </c>
      <c r="C89" s="129"/>
      <c r="D89" s="129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</row>
    <row r="90" spans="1:16" s="27" customFormat="1" ht="18.75" x14ac:dyDescent="0.25">
      <c r="A90" s="136" t="s">
        <v>110</v>
      </c>
      <c r="B90" s="128" t="s">
        <v>111</v>
      </c>
      <c r="C90" s="129"/>
      <c r="D90" s="129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</row>
    <row r="91" spans="1:16" s="27" customFormat="1" ht="18.75" x14ac:dyDescent="0.25">
      <c r="A91" s="136" t="s">
        <v>112</v>
      </c>
      <c r="B91" s="128" t="s">
        <v>113</v>
      </c>
      <c r="C91" s="129"/>
      <c r="D91" s="129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</row>
    <row r="92" spans="1:16" s="27" customFormat="1" ht="37.5" x14ac:dyDescent="0.25">
      <c r="A92" s="136" t="s">
        <v>114</v>
      </c>
      <c r="B92" s="128" t="s">
        <v>115</v>
      </c>
      <c r="C92" s="129"/>
      <c r="D92" s="129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1:16" s="27" customFormat="1" ht="18.75" x14ac:dyDescent="0.25">
      <c r="A93" s="136" t="s">
        <v>116</v>
      </c>
      <c r="B93" s="128" t="s">
        <v>117</v>
      </c>
      <c r="C93" s="129"/>
      <c r="D93" s="129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</row>
    <row r="94" spans="1:16" s="27" customFormat="1" ht="18.75" x14ac:dyDescent="0.25">
      <c r="A94" s="136" t="s">
        <v>118</v>
      </c>
      <c r="B94" s="128" t="s">
        <v>119</v>
      </c>
      <c r="C94" s="129"/>
      <c r="D94" s="129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  <row r="95" spans="1:16" s="27" customFormat="1" ht="18.75" x14ac:dyDescent="0.25">
      <c r="A95" s="136" t="s">
        <v>118</v>
      </c>
      <c r="B95" s="128" t="s">
        <v>119</v>
      </c>
      <c r="C95" s="129"/>
      <c r="D95" s="129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</row>
    <row r="96" spans="1:16" s="27" customFormat="1" ht="37.5" x14ac:dyDescent="0.25">
      <c r="A96" s="136" t="s">
        <v>120</v>
      </c>
      <c r="B96" s="128" t="s">
        <v>121</v>
      </c>
      <c r="C96" s="129"/>
      <c r="D96" s="129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</row>
    <row r="97" spans="1:16" s="27" customFormat="1" ht="37.5" x14ac:dyDescent="0.25">
      <c r="A97" s="136" t="s">
        <v>122</v>
      </c>
      <c r="B97" s="128" t="s">
        <v>123</v>
      </c>
      <c r="C97" s="129"/>
      <c r="D97" s="129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</row>
    <row r="98" spans="1:16" s="27" customFormat="1" ht="37.5" x14ac:dyDescent="0.25">
      <c r="A98" s="136" t="s">
        <v>122</v>
      </c>
      <c r="B98" s="128" t="s">
        <v>123</v>
      </c>
      <c r="C98" s="129"/>
      <c r="D98" s="129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</row>
    <row r="99" spans="1:16" s="27" customFormat="1" ht="37.5" x14ac:dyDescent="0.25">
      <c r="A99" s="136" t="s">
        <v>124</v>
      </c>
      <c r="B99" s="128" t="s">
        <v>125</v>
      </c>
      <c r="C99" s="129"/>
      <c r="D99" s="129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</row>
    <row r="100" spans="1:16" s="29" customFormat="1" ht="37.5" x14ac:dyDescent="0.25">
      <c r="A100" s="136" t="s">
        <v>126</v>
      </c>
      <c r="B100" s="120" t="s">
        <v>127</v>
      </c>
      <c r="C100" s="119"/>
      <c r="D100" s="129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</row>
    <row r="101" spans="1:16" s="27" customFormat="1" ht="19.5" x14ac:dyDescent="0.25">
      <c r="A101" s="133" t="s">
        <v>128</v>
      </c>
      <c r="B101" s="134" t="s">
        <v>129</v>
      </c>
      <c r="C101" s="135"/>
      <c r="D101" s="135"/>
      <c r="E101" s="33"/>
      <c r="F101" s="33"/>
      <c r="G101" s="42"/>
      <c r="H101" s="42"/>
      <c r="I101" s="42"/>
      <c r="J101" s="42"/>
      <c r="K101" s="42"/>
      <c r="L101" s="42"/>
      <c r="M101" s="42"/>
      <c r="N101" s="42"/>
      <c r="O101" s="42"/>
      <c r="P101" s="42"/>
    </row>
    <row r="102" spans="1:16" s="27" customFormat="1" ht="18.75" x14ac:dyDescent="0.25">
      <c r="A102" s="136" t="s">
        <v>130</v>
      </c>
      <c r="B102" s="128" t="s">
        <v>131</v>
      </c>
      <c r="C102" s="129"/>
      <c r="D102" s="129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</row>
    <row r="103" spans="1:16" s="27" customFormat="1" ht="37.5" x14ac:dyDescent="0.25">
      <c r="A103" s="136" t="s">
        <v>132</v>
      </c>
      <c r="B103" s="128" t="s">
        <v>133</v>
      </c>
      <c r="C103" s="129"/>
      <c r="D103" s="129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</row>
    <row r="104" spans="1:16" s="27" customFormat="1" ht="18.75" x14ac:dyDescent="0.25">
      <c r="A104" s="136" t="s">
        <v>134</v>
      </c>
      <c r="B104" s="128" t="s">
        <v>135</v>
      </c>
      <c r="C104" s="129"/>
      <c r="D104" s="129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</row>
    <row r="105" spans="1:16" s="27" customFormat="1" ht="18.75" x14ac:dyDescent="0.25">
      <c r="A105" s="136" t="s">
        <v>136</v>
      </c>
      <c r="B105" s="128" t="s">
        <v>137</v>
      </c>
      <c r="C105" s="129"/>
      <c r="D105" s="129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</row>
    <row r="106" spans="1:16" s="27" customFormat="1" ht="39" x14ac:dyDescent="0.25">
      <c r="A106" s="133" t="s">
        <v>287</v>
      </c>
      <c r="B106" s="134" t="s">
        <v>288</v>
      </c>
      <c r="C106" s="135"/>
      <c r="D106" s="135"/>
      <c r="E106" s="33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</row>
    <row r="107" spans="1:16" s="6" customFormat="1" ht="18.75" x14ac:dyDescent="0.25">
      <c r="A107" s="136" t="s">
        <v>287</v>
      </c>
      <c r="B107" s="128" t="s">
        <v>309</v>
      </c>
      <c r="C107" s="129"/>
      <c r="D107" s="129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</row>
    <row r="108" spans="1:16" s="6" customFormat="1" ht="18.75" x14ac:dyDescent="0.25">
      <c r="A108" s="136"/>
      <c r="B108" s="128" t="s">
        <v>309</v>
      </c>
      <c r="C108" s="129"/>
      <c r="D108" s="129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</row>
    <row r="109" spans="1:16" s="27" customFormat="1" ht="18.75" x14ac:dyDescent="0.25">
      <c r="A109" s="136" t="s">
        <v>287</v>
      </c>
      <c r="B109" s="128" t="s">
        <v>309</v>
      </c>
      <c r="C109" s="129"/>
      <c r="D109" s="129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</row>
    <row r="110" spans="1:16" s="27" customFormat="1" ht="18.75" x14ac:dyDescent="0.25">
      <c r="A110" s="136"/>
      <c r="B110" s="128" t="s">
        <v>309</v>
      </c>
      <c r="C110" s="129"/>
      <c r="D110" s="129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</row>
    <row r="111" spans="1:16" s="27" customFormat="1" ht="18.75" x14ac:dyDescent="0.25">
      <c r="A111" s="136" t="s">
        <v>287</v>
      </c>
      <c r="B111" s="128" t="s">
        <v>309</v>
      </c>
      <c r="C111" s="129"/>
      <c r="D111" s="129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</row>
    <row r="112" spans="1:16" s="27" customFormat="1" ht="19.5" x14ac:dyDescent="0.25">
      <c r="A112" s="137" t="s">
        <v>138</v>
      </c>
      <c r="B112" s="138" t="s">
        <v>139</v>
      </c>
      <c r="C112" s="139"/>
      <c r="D112" s="140"/>
      <c r="E112" s="33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</row>
    <row r="113" spans="1:16" s="29" customFormat="1" ht="18.75" x14ac:dyDescent="0.25">
      <c r="A113" s="136" t="s">
        <v>138</v>
      </c>
      <c r="B113" s="141" t="s">
        <v>140</v>
      </c>
      <c r="C113" s="142"/>
      <c r="D113" s="142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</row>
    <row r="114" spans="1:16" s="29" customFormat="1" ht="18.75" x14ac:dyDescent="0.25">
      <c r="A114" s="136"/>
      <c r="B114" s="141" t="s">
        <v>140</v>
      </c>
      <c r="C114" s="142"/>
      <c r="D114" s="142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</row>
    <row r="115" spans="1:16" s="29" customFormat="1" ht="18.75" x14ac:dyDescent="0.25">
      <c r="A115" s="136"/>
      <c r="B115" s="141" t="s">
        <v>140</v>
      </c>
      <c r="C115" s="142"/>
      <c r="D115" s="142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</row>
    <row r="116" spans="1:16" s="29" customFormat="1" ht="18.75" x14ac:dyDescent="0.25">
      <c r="A116" s="136"/>
      <c r="B116" s="141" t="s">
        <v>140</v>
      </c>
      <c r="C116" s="142"/>
      <c r="D116" s="142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</row>
    <row r="117" spans="1:16" s="29" customFormat="1" ht="18.75" x14ac:dyDescent="0.25">
      <c r="A117" s="136"/>
      <c r="B117" s="141" t="s">
        <v>140</v>
      </c>
      <c r="C117" s="142"/>
      <c r="D117" s="142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</row>
    <row r="118" spans="1:16" s="27" customFormat="1" ht="19.5" x14ac:dyDescent="0.25">
      <c r="A118" s="133" t="s">
        <v>141</v>
      </c>
      <c r="B118" s="134" t="s">
        <v>142</v>
      </c>
      <c r="C118" s="135"/>
      <c r="D118" s="135"/>
      <c r="E118" s="33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</row>
    <row r="119" spans="1:16" s="29" customFormat="1" ht="18.75" x14ac:dyDescent="0.25">
      <c r="A119" s="136" t="s">
        <v>143</v>
      </c>
      <c r="B119" s="128" t="s">
        <v>144</v>
      </c>
      <c r="C119" s="129"/>
      <c r="D119" s="129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</row>
    <row r="120" spans="1:16" s="6" customFormat="1" ht="18.75" x14ac:dyDescent="0.25">
      <c r="A120" s="136" t="s">
        <v>143</v>
      </c>
      <c r="B120" s="128" t="s">
        <v>144</v>
      </c>
      <c r="C120" s="129"/>
      <c r="D120" s="129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</row>
    <row r="121" spans="1:16" s="6" customFormat="1" ht="18.75" x14ac:dyDescent="0.25">
      <c r="A121" s="136" t="s">
        <v>145</v>
      </c>
      <c r="B121" s="128" t="s">
        <v>146</v>
      </c>
      <c r="C121" s="129"/>
      <c r="D121" s="129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</row>
    <row r="122" spans="1:16" s="6" customFormat="1" ht="18.75" x14ac:dyDescent="0.25">
      <c r="A122" s="136" t="s">
        <v>145</v>
      </c>
      <c r="B122" s="128" t="s">
        <v>146</v>
      </c>
      <c r="C122" s="129"/>
      <c r="D122" s="129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</row>
    <row r="123" spans="1:16" s="6" customFormat="1" ht="18.75" x14ac:dyDescent="0.25">
      <c r="A123" s="136" t="s">
        <v>147</v>
      </c>
      <c r="B123" s="128" t="s">
        <v>148</v>
      </c>
      <c r="C123" s="129"/>
      <c r="D123" s="129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</row>
    <row r="124" spans="1:16" s="6" customFormat="1" ht="37.5" x14ac:dyDescent="0.25">
      <c r="A124" s="136" t="s">
        <v>149</v>
      </c>
      <c r="B124" s="128" t="s">
        <v>150</v>
      </c>
      <c r="C124" s="129"/>
      <c r="D124" s="129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</row>
    <row r="125" spans="1:16" s="6" customFormat="1" ht="37.5" x14ac:dyDescent="0.25">
      <c r="A125" s="136" t="s">
        <v>151</v>
      </c>
      <c r="B125" s="128" t="s">
        <v>152</v>
      </c>
      <c r="C125" s="129"/>
      <c r="D125" s="129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</row>
    <row r="126" spans="1:16" s="6" customFormat="1" ht="56.25" x14ac:dyDescent="0.25">
      <c r="A126" s="136" t="s">
        <v>153</v>
      </c>
      <c r="B126" s="120" t="s">
        <v>154</v>
      </c>
      <c r="C126" s="119"/>
      <c r="D126" s="129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</row>
    <row r="127" spans="1:16" s="6" customFormat="1" ht="18.75" x14ac:dyDescent="0.25">
      <c r="A127" s="136" t="s">
        <v>155</v>
      </c>
      <c r="B127" s="120" t="s">
        <v>156</v>
      </c>
      <c r="C127" s="119"/>
      <c r="D127" s="129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</row>
    <row r="128" spans="1:16" s="6" customFormat="1" ht="18.75" x14ac:dyDescent="0.25">
      <c r="A128" s="136" t="s">
        <v>155</v>
      </c>
      <c r="B128" s="120" t="s">
        <v>157</v>
      </c>
      <c r="C128" s="119"/>
      <c r="D128" s="129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</row>
    <row r="129" spans="1:16" s="6" customFormat="1" ht="18.75" x14ac:dyDescent="0.25">
      <c r="A129" s="136" t="s">
        <v>155</v>
      </c>
      <c r="B129" s="120" t="s">
        <v>157</v>
      </c>
      <c r="C129" s="119"/>
      <c r="D129" s="129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</row>
    <row r="130" spans="1:16" s="6" customFormat="1" ht="18.75" x14ac:dyDescent="0.25">
      <c r="A130" s="136" t="s">
        <v>158</v>
      </c>
      <c r="B130" s="120" t="s">
        <v>159</v>
      </c>
      <c r="C130" s="119"/>
      <c r="D130" s="129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</row>
    <row r="131" spans="1:16" s="6" customFormat="1" ht="37.5" x14ac:dyDescent="0.25">
      <c r="A131" s="136" t="s">
        <v>160</v>
      </c>
      <c r="B131" s="120" t="s">
        <v>308</v>
      </c>
      <c r="C131" s="119"/>
      <c r="D131" s="129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</row>
    <row r="132" spans="1:16" s="6" customFormat="1" ht="37.5" x14ac:dyDescent="0.25">
      <c r="A132" s="136" t="s">
        <v>162</v>
      </c>
      <c r="B132" s="120" t="s">
        <v>163</v>
      </c>
      <c r="C132" s="119"/>
      <c r="D132" s="129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</row>
    <row r="133" spans="1:16" s="6" customFormat="1" ht="18.75" x14ac:dyDescent="0.25">
      <c r="A133" s="136" t="s">
        <v>164</v>
      </c>
      <c r="B133" s="120" t="s">
        <v>165</v>
      </c>
      <c r="C133" s="119"/>
      <c r="D133" s="129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</row>
    <row r="134" spans="1:16" s="6" customFormat="1" ht="37.5" x14ac:dyDescent="0.25">
      <c r="A134" s="136" t="s">
        <v>166</v>
      </c>
      <c r="B134" s="120" t="s">
        <v>167</v>
      </c>
      <c r="C134" s="119"/>
      <c r="D134" s="129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</row>
    <row r="135" spans="1:16" s="6" customFormat="1" ht="37.5" x14ac:dyDescent="0.25">
      <c r="A135" s="136" t="s">
        <v>166</v>
      </c>
      <c r="B135" s="120" t="s">
        <v>167</v>
      </c>
      <c r="C135" s="119"/>
      <c r="D135" s="129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</row>
    <row r="136" spans="1:16" s="6" customFormat="1" ht="37.5" x14ac:dyDescent="0.25">
      <c r="A136" s="136" t="s">
        <v>168</v>
      </c>
      <c r="B136" s="120" t="s">
        <v>169</v>
      </c>
      <c r="C136" s="119"/>
      <c r="D136" s="129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</row>
    <row r="137" spans="1:16" s="6" customFormat="1" ht="37.5" x14ac:dyDescent="0.25">
      <c r="A137" s="136" t="s">
        <v>168</v>
      </c>
      <c r="B137" s="120" t="s">
        <v>169</v>
      </c>
      <c r="C137" s="119"/>
      <c r="D137" s="129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</row>
    <row r="138" spans="1:16" s="6" customFormat="1" ht="18.75" x14ac:dyDescent="0.25">
      <c r="A138" s="136" t="s">
        <v>170</v>
      </c>
      <c r="B138" s="120" t="s">
        <v>171</v>
      </c>
      <c r="C138" s="119"/>
      <c r="D138" s="129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</row>
    <row r="139" spans="1:16" s="6" customFormat="1" ht="18.75" x14ac:dyDescent="0.25">
      <c r="A139" s="136" t="s">
        <v>170</v>
      </c>
      <c r="B139" s="120" t="s">
        <v>171</v>
      </c>
      <c r="C139" s="119"/>
      <c r="D139" s="129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</row>
    <row r="140" spans="1:16" s="6" customFormat="1" ht="18.75" x14ac:dyDescent="0.25">
      <c r="A140" s="136" t="s">
        <v>172</v>
      </c>
      <c r="B140" s="120" t="s">
        <v>173</v>
      </c>
      <c r="C140" s="119"/>
      <c r="D140" s="129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</row>
    <row r="141" spans="1:16" s="6" customFormat="1" ht="37.5" x14ac:dyDescent="0.25">
      <c r="A141" s="136" t="s">
        <v>172</v>
      </c>
      <c r="B141" s="120" t="s">
        <v>174</v>
      </c>
      <c r="C141" s="119"/>
      <c r="D141" s="129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</row>
    <row r="142" spans="1:16" s="6" customFormat="1" ht="37.5" x14ac:dyDescent="0.25">
      <c r="A142" s="136" t="s">
        <v>175</v>
      </c>
      <c r="B142" s="120" t="s">
        <v>176</v>
      </c>
      <c r="C142" s="119"/>
      <c r="D142" s="129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</row>
    <row r="143" spans="1:16" s="6" customFormat="1" ht="18.75" x14ac:dyDescent="0.25">
      <c r="A143" s="136" t="s">
        <v>177</v>
      </c>
      <c r="B143" s="120" t="s">
        <v>178</v>
      </c>
      <c r="C143" s="119"/>
      <c r="D143" s="129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</row>
    <row r="144" spans="1:16" s="6" customFormat="1" ht="37.5" x14ac:dyDescent="0.25">
      <c r="A144" s="136" t="s">
        <v>179</v>
      </c>
      <c r="B144" s="120" t="s">
        <v>180</v>
      </c>
      <c r="C144" s="119"/>
      <c r="D144" s="129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</row>
    <row r="145" spans="1:16" s="6" customFormat="1" ht="37.5" x14ac:dyDescent="0.25">
      <c r="A145" s="136" t="s">
        <v>181</v>
      </c>
      <c r="B145" s="120" t="s">
        <v>182</v>
      </c>
      <c r="C145" s="119"/>
      <c r="D145" s="129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</row>
    <row r="146" spans="1:16" s="6" customFormat="1" ht="18.75" x14ac:dyDescent="0.25">
      <c r="A146" s="136" t="s">
        <v>183</v>
      </c>
      <c r="B146" s="120" t="s">
        <v>184</v>
      </c>
      <c r="C146" s="119"/>
      <c r="D146" s="129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</row>
    <row r="147" spans="1:16" s="6" customFormat="1" ht="18.75" x14ac:dyDescent="0.25">
      <c r="A147" s="136" t="s">
        <v>185</v>
      </c>
      <c r="B147" s="120" t="s">
        <v>186</v>
      </c>
      <c r="C147" s="119"/>
      <c r="D147" s="129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</row>
    <row r="148" spans="1:16" s="26" customFormat="1" ht="19.5" x14ac:dyDescent="0.25">
      <c r="A148" s="130" t="s">
        <v>29</v>
      </c>
      <c r="B148" s="115" t="s">
        <v>329</v>
      </c>
      <c r="C148" s="114"/>
      <c r="D148" s="114"/>
      <c r="E148" s="33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</row>
    <row r="149" spans="1:16" s="22" customFormat="1" ht="18.75" x14ac:dyDescent="0.25">
      <c r="A149" s="127" t="s">
        <v>330</v>
      </c>
      <c r="B149" s="131" t="s">
        <v>331</v>
      </c>
      <c r="C149" s="119"/>
      <c r="D149" s="119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</row>
    <row r="150" spans="1:16" s="22" customFormat="1" ht="18.75" x14ac:dyDescent="0.25">
      <c r="A150" s="127"/>
      <c r="B150" s="120"/>
      <c r="C150" s="119"/>
      <c r="D150" s="119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</row>
    <row r="151" spans="1:16" s="22" customFormat="1" ht="19.5" x14ac:dyDescent="0.25">
      <c r="A151" s="114" t="s">
        <v>31</v>
      </c>
      <c r="B151" s="115" t="s">
        <v>329</v>
      </c>
      <c r="C151" s="114"/>
      <c r="D151" s="119"/>
      <c r="E151" s="33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</row>
    <row r="152" spans="1:16" s="22" customFormat="1" ht="18.75" x14ac:dyDescent="0.25">
      <c r="A152" s="127" t="s">
        <v>330</v>
      </c>
      <c r="B152" s="131" t="s">
        <v>331</v>
      </c>
      <c r="C152" s="119"/>
      <c r="D152" s="119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</row>
    <row r="153" spans="1:16" s="22" customFormat="1" ht="32.25" customHeight="1" x14ac:dyDescent="0.25">
      <c r="A153" s="127"/>
      <c r="B153" s="148" t="s">
        <v>377</v>
      </c>
      <c r="C153" s="119"/>
      <c r="D153" s="119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</row>
    <row r="154" spans="1:16" s="22" customFormat="1" ht="19.5" x14ac:dyDescent="0.25">
      <c r="A154" s="127"/>
      <c r="B154" s="115" t="s">
        <v>344</v>
      </c>
      <c r="C154" s="114">
        <v>210</v>
      </c>
      <c r="D154" s="114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</row>
    <row r="155" spans="1:16" s="22" customFormat="1" ht="19.5" x14ac:dyDescent="0.25">
      <c r="A155" s="127"/>
      <c r="B155" s="115" t="s">
        <v>345</v>
      </c>
      <c r="C155" s="114">
        <v>211</v>
      </c>
      <c r="D155" s="114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</row>
    <row r="156" spans="1:16" s="22" customFormat="1" ht="18.75" x14ac:dyDescent="0.25">
      <c r="A156" s="127"/>
      <c r="B156" s="120" t="s">
        <v>47</v>
      </c>
      <c r="C156" s="119"/>
      <c r="D156" s="119">
        <v>211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</row>
    <row r="157" spans="1:16" s="22" customFormat="1" ht="18.75" x14ac:dyDescent="0.25">
      <c r="A157" s="127"/>
      <c r="B157" s="120" t="s">
        <v>51</v>
      </c>
      <c r="C157" s="119"/>
      <c r="D157" s="119">
        <v>213</v>
      </c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</row>
    <row r="158" spans="1:16" s="22" customFormat="1" ht="19.5" x14ac:dyDescent="0.25">
      <c r="A158" s="127"/>
      <c r="B158" s="115" t="s">
        <v>346</v>
      </c>
      <c r="C158" s="114">
        <v>220</v>
      </c>
      <c r="D158" s="119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</row>
    <row r="159" spans="1:16" s="22" customFormat="1" ht="18.75" x14ac:dyDescent="0.25">
      <c r="A159" s="127"/>
      <c r="B159" s="120" t="s">
        <v>49</v>
      </c>
      <c r="C159" s="119"/>
      <c r="D159" s="119">
        <v>212</v>
      </c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</row>
    <row r="160" spans="1:16" s="22" customFormat="1" ht="19.5" x14ac:dyDescent="0.25">
      <c r="A160" s="127"/>
      <c r="B160" s="115" t="s">
        <v>347</v>
      </c>
      <c r="C160" s="114">
        <v>230</v>
      </c>
      <c r="D160" s="119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</row>
    <row r="161" spans="1:16" s="22" customFormat="1" ht="18.75" x14ac:dyDescent="0.25">
      <c r="A161" s="127"/>
      <c r="B161" s="120" t="s">
        <v>68</v>
      </c>
      <c r="C161" s="119"/>
      <c r="D161" s="119">
        <v>290</v>
      </c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</row>
    <row r="162" spans="1:16" s="22" customFormat="1" ht="19.5" x14ac:dyDescent="0.25">
      <c r="A162" s="127"/>
      <c r="B162" s="115" t="s">
        <v>348</v>
      </c>
      <c r="C162" s="114">
        <v>260</v>
      </c>
      <c r="D162" s="119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</row>
    <row r="163" spans="1:16" s="22" customFormat="1" ht="18.75" x14ac:dyDescent="0.25">
      <c r="A163" s="127"/>
      <c r="B163" s="120" t="s">
        <v>53</v>
      </c>
      <c r="C163" s="119"/>
      <c r="D163" s="119">
        <v>221</v>
      </c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</row>
    <row r="164" spans="1:16" s="22" customFormat="1" ht="18.75" x14ac:dyDescent="0.25">
      <c r="A164" s="127"/>
      <c r="B164" s="120" t="s">
        <v>55</v>
      </c>
      <c r="C164" s="119"/>
      <c r="D164" s="119">
        <v>222</v>
      </c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</row>
    <row r="165" spans="1:16" s="22" customFormat="1" ht="18.75" x14ac:dyDescent="0.25">
      <c r="A165" s="127"/>
      <c r="B165" s="120" t="s">
        <v>64</v>
      </c>
      <c r="C165" s="119"/>
      <c r="D165" s="119">
        <v>225</v>
      </c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</row>
    <row r="166" spans="1:16" s="22" customFormat="1" ht="18.75" x14ac:dyDescent="0.25">
      <c r="A166" s="127"/>
      <c r="B166" s="120" t="s">
        <v>66</v>
      </c>
      <c r="C166" s="119"/>
      <c r="D166" s="119">
        <v>226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</row>
    <row r="167" spans="1:16" s="22" customFormat="1" ht="18.75" x14ac:dyDescent="0.25">
      <c r="A167" s="127"/>
      <c r="B167" s="120" t="s">
        <v>70</v>
      </c>
      <c r="C167" s="119"/>
      <c r="D167" s="119">
        <v>310</v>
      </c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</row>
    <row r="168" spans="1:16" s="22" customFormat="1" ht="18.75" x14ac:dyDescent="0.25">
      <c r="A168" s="127"/>
      <c r="B168" s="120" t="s">
        <v>74</v>
      </c>
      <c r="C168" s="119"/>
      <c r="D168" s="119">
        <v>340</v>
      </c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</row>
    <row r="169" spans="1:16" s="22" customFormat="1" ht="45" customHeight="1" x14ac:dyDescent="0.25">
      <c r="A169" s="127"/>
      <c r="B169" s="148" t="s">
        <v>378</v>
      </c>
      <c r="C169" s="119"/>
      <c r="D169" s="119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</row>
    <row r="170" spans="1:16" s="22" customFormat="1" ht="19.5" x14ac:dyDescent="0.25">
      <c r="A170" s="127"/>
      <c r="B170" s="115" t="s">
        <v>379</v>
      </c>
      <c r="C170" s="114">
        <v>210</v>
      </c>
      <c r="D170" s="114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</row>
    <row r="171" spans="1:16" s="22" customFormat="1" ht="19.5" x14ac:dyDescent="0.25">
      <c r="A171" s="127"/>
      <c r="B171" s="115" t="s">
        <v>345</v>
      </c>
      <c r="C171" s="114">
        <v>211</v>
      </c>
      <c r="D171" s="114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</row>
    <row r="172" spans="1:16" s="22" customFormat="1" ht="18.75" x14ac:dyDescent="0.25">
      <c r="A172" s="127"/>
      <c r="B172" s="120" t="s">
        <v>47</v>
      </c>
      <c r="C172" s="119"/>
      <c r="D172" s="119">
        <v>211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</row>
    <row r="173" spans="1:16" s="22" customFormat="1" ht="18.75" x14ac:dyDescent="0.25">
      <c r="A173" s="127"/>
      <c r="B173" s="120" t="s">
        <v>51</v>
      </c>
      <c r="C173" s="119"/>
      <c r="D173" s="119">
        <v>213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</row>
    <row r="174" spans="1:16" s="22" customFormat="1" ht="19.5" x14ac:dyDescent="0.25">
      <c r="A174" s="127"/>
      <c r="B174" s="115" t="s">
        <v>346</v>
      </c>
      <c r="C174" s="114">
        <v>220</v>
      </c>
      <c r="D174" s="119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</row>
    <row r="175" spans="1:16" s="22" customFormat="1" ht="18.75" x14ac:dyDescent="0.25">
      <c r="A175" s="127"/>
      <c r="B175" s="120" t="s">
        <v>49</v>
      </c>
      <c r="C175" s="119"/>
      <c r="D175" s="119">
        <v>212</v>
      </c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</row>
    <row r="176" spans="1:16" s="22" customFormat="1" ht="19.5" x14ac:dyDescent="0.25">
      <c r="A176" s="127"/>
      <c r="B176" s="115" t="s">
        <v>347</v>
      </c>
      <c r="C176" s="114">
        <v>230</v>
      </c>
      <c r="D176" s="119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</row>
    <row r="177" spans="1:16" s="22" customFormat="1" ht="18.75" x14ac:dyDescent="0.25">
      <c r="A177" s="127"/>
      <c r="B177" s="120" t="s">
        <v>68</v>
      </c>
      <c r="C177" s="119"/>
      <c r="D177" s="119">
        <v>290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</row>
    <row r="178" spans="1:16" s="22" customFormat="1" ht="19.5" x14ac:dyDescent="0.25">
      <c r="A178" s="127"/>
      <c r="B178" s="115" t="s">
        <v>348</v>
      </c>
      <c r="C178" s="114">
        <v>260</v>
      </c>
      <c r="D178" s="119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</row>
    <row r="179" spans="1:16" s="22" customFormat="1" ht="18.75" x14ac:dyDescent="0.25">
      <c r="A179" s="127"/>
      <c r="B179" s="120" t="s">
        <v>53</v>
      </c>
      <c r="C179" s="119"/>
      <c r="D179" s="119">
        <v>221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</row>
    <row r="180" spans="1:16" s="22" customFormat="1" ht="18.75" x14ac:dyDescent="0.25">
      <c r="A180" s="127"/>
      <c r="B180" s="120" t="s">
        <v>55</v>
      </c>
      <c r="C180" s="119"/>
      <c r="D180" s="119">
        <v>222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</row>
    <row r="181" spans="1:16" s="22" customFormat="1" ht="18.75" x14ac:dyDescent="0.25">
      <c r="A181" s="127"/>
      <c r="B181" s="120" t="s">
        <v>64</v>
      </c>
      <c r="C181" s="119"/>
      <c r="D181" s="119">
        <v>225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</row>
    <row r="182" spans="1:16" s="22" customFormat="1" ht="18.75" x14ac:dyDescent="0.25">
      <c r="A182" s="127"/>
      <c r="B182" s="120" t="s">
        <v>66</v>
      </c>
      <c r="C182" s="119"/>
      <c r="D182" s="119">
        <v>226</v>
      </c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</row>
    <row r="183" spans="1:16" s="22" customFormat="1" ht="18.75" x14ac:dyDescent="0.25">
      <c r="A183" s="127"/>
      <c r="B183" s="120" t="s">
        <v>70</v>
      </c>
      <c r="C183" s="119"/>
      <c r="D183" s="119">
        <v>310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</row>
    <row r="184" spans="1:16" s="22" customFormat="1" ht="18.75" x14ac:dyDescent="0.25">
      <c r="A184" s="127"/>
      <c r="B184" s="120" t="s">
        <v>74</v>
      </c>
      <c r="C184" s="119"/>
      <c r="D184" s="119">
        <v>340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</row>
    <row r="185" spans="1:16" s="27" customFormat="1" ht="19.5" x14ac:dyDescent="0.35">
      <c r="A185" s="133" t="s">
        <v>205</v>
      </c>
      <c r="B185" s="134" t="s">
        <v>326</v>
      </c>
      <c r="C185" s="135"/>
      <c r="D185" s="135"/>
      <c r="E185" s="116">
        <f>E186+E192+E194</f>
        <v>10525100</v>
      </c>
      <c r="F185" s="143"/>
      <c r="G185" s="143"/>
      <c r="H185" s="143"/>
      <c r="I185" s="143"/>
      <c r="J185" s="143"/>
      <c r="K185" s="143"/>
      <c r="L185" s="143"/>
      <c r="M185" s="143"/>
      <c r="N185" s="143">
        <f>N186++N192+N194</f>
        <v>9825100</v>
      </c>
      <c r="O185" s="143"/>
      <c r="P185" s="143">
        <f t="shared" ref="P185" si="8">P186+P194</f>
        <v>700000</v>
      </c>
    </row>
    <row r="186" spans="1:16" s="27" customFormat="1" ht="19.5" x14ac:dyDescent="0.35">
      <c r="A186" s="119" t="s">
        <v>362</v>
      </c>
      <c r="B186" s="115" t="s">
        <v>344</v>
      </c>
      <c r="C186" s="114">
        <v>210</v>
      </c>
      <c r="D186" s="114"/>
      <c r="E186" s="116">
        <f>E187</f>
        <v>1210628.48</v>
      </c>
      <c r="F186" s="143"/>
      <c r="G186" s="143"/>
      <c r="H186" s="143"/>
      <c r="I186" s="143"/>
      <c r="J186" s="143"/>
      <c r="K186" s="143"/>
      <c r="L186" s="143"/>
      <c r="M186" s="143"/>
      <c r="N186" s="116">
        <f>N187</f>
        <v>1210628.48</v>
      </c>
      <c r="O186" s="116"/>
      <c r="P186" s="116">
        <f t="shared" ref="P186" si="9">P187</f>
        <v>0</v>
      </c>
    </row>
    <row r="187" spans="1:16" s="27" customFormat="1" ht="19.5" x14ac:dyDescent="0.35">
      <c r="A187" s="114"/>
      <c r="B187" s="115" t="s">
        <v>345</v>
      </c>
      <c r="C187" s="114">
        <v>211</v>
      </c>
      <c r="D187" s="114"/>
      <c r="E187" s="116">
        <f>E188+E189</f>
        <v>1210628.48</v>
      </c>
      <c r="F187" s="143"/>
      <c r="G187" s="143"/>
      <c r="H187" s="143"/>
      <c r="I187" s="143"/>
      <c r="J187" s="143"/>
      <c r="K187" s="143"/>
      <c r="L187" s="143"/>
      <c r="M187" s="143"/>
      <c r="N187" s="143">
        <f>N188+N189</f>
        <v>1210628.48</v>
      </c>
      <c r="O187" s="143"/>
      <c r="P187" s="143">
        <f t="shared" ref="P187" si="10">P188+P189</f>
        <v>0</v>
      </c>
    </row>
    <row r="188" spans="1:16" s="27" customFormat="1" ht="19.5" x14ac:dyDescent="0.35">
      <c r="A188" s="119"/>
      <c r="B188" s="120" t="s">
        <v>47</v>
      </c>
      <c r="C188" s="119"/>
      <c r="D188" s="119">
        <v>211</v>
      </c>
      <c r="E188" s="116">
        <f>P188+N188</f>
        <v>928234.18</v>
      </c>
      <c r="F188" s="143"/>
      <c r="G188" s="143"/>
      <c r="H188" s="143"/>
      <c r="I188" s="143"/>
      <c r="J188" s="143"/>
      <c r="K188" s="143"/>
      <c r="L188" s="143"/>
      <c r="M188" s="143"/>
      <c r="N188" s="143">
        <v>928234.18</v>
      </c>
      <c r="O188" s="143"/>
      <c r="P188" s="143"/>
    </row>
    <row r="189" spans="1:16" s="27" customFormat="1" ht="19.5" x14ac:dyDescent="0.35">
      <c r="A189" s="119"/>
      <c r="B189" s="120" t="s">
        <v>51</v>
      </c>
      <c r="C189" s="119"/>
      <c r="D189" s="119">
        <v>213</v>
      </c>
      <c r="E189" s="116">
        <f t="shared" ref="E189:E204" si="11">P189+N189</f>
        <v>282394.3</v>
      </c>
      <c r="F189" s="143"/>
      <c r="G189" s="143"/>
      <c r="H189" s="143"/>
      <c r="I189" s="143"/>
      <c r="J189" s="143"/>
      <c r="K189" s="143"/>
      <c r="L189" s="143"/>
      <c r="M189" s="143"/>
      <c r="N189" s="143">
        <v>282394.3</v>
      </c>
      <c r="O189" s="143"/>
      <c r="P189" s="143"/>
    </row>
    <row r="190" spans="1:16" s="27" customFormat="1" ht="19.5" x14ac:dyDescent="0.35">
      <c r="A190" s="119" t="s">
        <v>363</v>
      </c>
      <c r="B190" s="115" t="s">
        <v>346</v>
      </c>
      <c r="C190" s="114">
        <v>220</v>
      </c>
      <c r="D190" s="119"/>
      <c r="E190" s="116">
        <f t="shared" si="11"/>
        <v>0</v>
      </c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</row>
    <row r="191" spans="1:16" s="27" customFormat="1" ht="19.5" x14ac:dyDescent="0.35">
      <c r="A191" s="119"/>
      <c r="B191" s="120" t="s">
        <v>49</v>
      </c>
      <c r="C191" s="119"/>
      <c r="D191" s="119">
        <v>212</v>
      </c>
      <c r="E191" s="116">
        <f t="shared" si="11"/>
        <v>0</v>
      </c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</row>
    <row r="192" spans="1:16" s="27" customFormat="1" ht="19.5" x14ac:dyDescent="0.35">
      <c r="A192" s="119" t="s">
        <v>364</v>
      </c>
      <c r="B192" s="115" t="s">
        <v>347</v>
      </c>
      <c r="C192" s="114">
        <v>230</v>
      </c>
      <c r="D192" s="119"/>
      <c r="E192" s="116">
        <f t="shared" si="11"/>
        <v>12342.13</v>
      </c>
      <c r="F192" s="143"/>
      <c r="G192" s="143"/>
      <c r="H192" s="143"/>
      <c r="I192" s="143"/>
      <c r="J192" s="143"/>
      <c r="K192" s="143"/>
      <c r="L192" s="143"/>
      <c r="M192" s="143"/>
      <c r="N192" s="143">
        <f>N193</f>
        <v>12342.13</v>
      </c>
      <c r="O192" s="143"/>
      <c r="P192" s="143"/>
    </row>
    <row r="193" spans="1:17" s="27" customFormat="1" ht="19.5" x14ac:dyDescent="0.35">
      <c r="A193" s="119"/>
      <c r="B193" s="120" t="s">
        <v>68</v>
      </c>
      <c r="C193" s="119"/>
      <c r="D193" s="119">
        <v>290</v>
      </c>
      <c r="E193" s="116">
        <f t="shared" si="11"/>
        <v>12342.13</v>
      </c>
      <c r="F193" s="143"/>
      <c r="G193" s="143"/>
      <c r="H193" s="143"/>
      <c r="I193" s="143"/>
      <c r="J193" s="143"/>
      <c r="K193" s="143"/>
      <c r="L193" s="143"/>
      <c r="M193" s="143"/>
      <c r="N193" s="143">
        <v>12342.13</v>
      </c>
      <c r="O193" s="143"/>
      <c r="P193" s="143"/>
    </row>
    <row r="194" spans="1:17" s="27" customFormat="1" ht="39" x14ac:dyDescent="0.35">
      <c r="A194" s="119" t="s">
        <v>365</v>
      </c>
      <c r="B194" s="115" t="s">
        <v>376</v>
      </c>
      <c r="C194" s="114">
        <v>250</v>
      </c>
      <c r="D194" s="119"/>
      <c r="E194" s="116">
        <f t="shared" si="11"/>
        <v>9302129.3900000006</v>
      </c>
      <c r="F194" s="143"/>
      <c r="G194" s="143"/>
      <c r="H194" s="143"/>
      <c r="I194" s="143"/>
      <c r="J194" s="143"/>
      <c r="K194" s="143"/>
      <c r="L194" s="143"/>
      <c r="M194" s="143"/>
      <c r="N194" s="143">
        <f t="shared" ref="N194" si="12">N195+N196+N197+N201+N202+N203+N204+N205</f>
        <v>8602129.3900000006</v>
      </c>
      <c r="O194" s="143"/>
      <c r="P194" s="143">
        <f>P195+P196+P197+P201+P202+P203+P204+P205</f>
        <v>700000</v>
      </c>
    </row>
    <row r="195" spans="1:17" s="27" customFormat="1" ht="19.5" x14ac:dyDescent="0.35">
      <c r="A195" s="119" t="s">
        <v>366</v>
      </c>
      <c r="B195" s="120" t="s">
        <v>53</v>
      </c>
      <c r="C195" s="119"/>
      <c r="D195" s="119">
        <v>221</v>
      </c>
      <c r="E195" s="116">
        <f t="shared" si="11"/>
        <v>0</v>
      </c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</row>
    <row r="196" spans="1:17" s="27" customFormat="1" ht="19.5" x14ac:dyDescent="0.35">
      <c r="A196" s="119" t="s">
        <v>367</v>
      </c>
      <c r="B196" s="120" t="s">
        <v>55</v>
      </c>
      <c r="C196" s="119"/>
      <c r="D196" s="119">
        <v>222</v>
      </c>
      <c r="E196" s="116">
        <f t="shared" si="11"/>
        <v>0</v>
      </c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</row>
    <row r="197" spans="1:17" s="27" customFormat="1" ht="19.5" x14ac:dyDescent="0.35">
      <c r="A197" s="119" t="s">
        <v>368</v>
      </c>
      <c r="B197" s="120" t="s">
        <v>57</v>
      </c>
      <c r="C197" s="119"/>
      <c r="D197" s="119">
        <v>223</v>
      </c>
      <c r="E197" s="116">
        <f t="shared" si="11"/>
        <v>3999.34</v>
      </c>
      <c r="F197" s="143"/>
      <c r="G197" s="143"/>
      <c r="H197" s="143"/>
      <c r="I197" s="143"/>
      <c r="J197" s="143"/>
      <c r="K197" s="143"/>
      <c r="L197" s="143"/>
      <c r="M197" s="143"/>
      <c r="N197" s="143">
        <f>N198+N199+N200</f>
        <v>3999.34</v>
      </c>
      <c r="O197" s="143"/>
      <c r="P197" s="143">
        <f t="shared" ref="P197" si="13">P198+P199+P200</f>
        <v>0</v>
      </c>
    </row>
    <row r="198" spans="1:17" s="27" customFormat="1" ht="19.5" x14ac:dyDescent="0.35">
      <c r="A198" s="119"/>
      <c r="B198" s="120" t="s">
        <v>58</v>
      </c>
      <c r="C198" s="119"/>
      <c r="D198" s="119">
        <v>223</v>
      </c>
      <c r="E198" s="116">
        <f t="shared" si="11"/>
        <v>0</v>
      </c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</row>
    <row r="199" spans="1:17" s="27" customFormat="1" ht="19.5" x14ac:dyDescent="0.35">
      <c r="A199" s="119"/>
      <c r="B199" s="120" t="s">
        <v>59</v>
      </c>
      <c r="C199" s="119"/>
      <c r="D199" s="119">
        <v>223</v>
      </c>
      <c r="E199" s="116">
        <f t="shared" si="11"/>
        <v>456.06</v>
      </c>
      <c r="F199" s="143"/>
      <c r="G199" s="143"/>
      <c r="H199" s="143"/>
      <c r="I199" s="143"/>
      <c r="J199" s="143"/>
      <c r="K199" s="143"/>
      <c r="L199" s="143"/>
      <c r="M199" s="143"/>
      <c r="N199" s="143">
        <v>456.06</v>
      </c>
      <c r="O199" s="143"/>
      <c r="P199" s="143"/>
    </row>
    <row r="200" spans="1:17" s="27" customFormat="1" ht="19.5" x14ac:dyDescent="0.35">
      <c r="A200" s="119"/>
      <c r="B200" s="120" t="s">
        <v>60</v>
      </c>
      <c r="C200" s="119"/>
      <c r="D200" s="119">
        <v>223</v>
      </c>
      <c r="E200" s="116">
        <f t="shared" si="11"/>
        <v>3543.28</v>
      </c>
      <c r="F200" s="143"/>
      <c r="G200" s="143"/>
      <c r="H200" s="143"/>
      <c r="I200" s="143"/>
      <c r="J200" s="143"/>
      <c r="K200" s="143"/>
      <c r="L200" s="143"/>
      <c r="M200" s="143"/>
      <c r="N200" s="143">
        <v>3543.28</v>
      </c>
      <c r="O200" s="143"/>
      <c r="P200" s="143"/>
    </row>
    <row r="201" spans="1:17" s="27" customFormat="1" ht="19.5" x14ac:dyDescent="0.35">
      <c r="A201" s="119" t="s">
        <v>369</v>
      </c>
      <c r="B201" s="120" t="s">
        <v>62</v>
      </c>
      <c r="C201" s="119"/>
      <c r="D201" s="119">
        <v>224</v>
      </c>
      <c r="E201" s="116">
        <f t="shared" si="11"/>
        <v>0</v>
      </c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</row>
    <row r="202" spans="1:17" s="27" customFormat="1" ht="19.5" x14ac:dyDescent="0.35">
      <c r="A202" s="119" t="s">
        <v>370</v>
      </c>
      <c r="B202" s="120" t="s">
        <v>64</v>
      </c>
      <c r="C202" s="119"/>
      <c r="D202" s="119">
        <v>225</v>
      </c>
      <c r="E202" s="116">
        <f t="shared" si="11"/>
        <v>0</v>
      </c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</row>
    <row r="203" spans="1:17" s="27" customFormat="1" ht="19.5" x14ac:dyDescent="0.35">
      <c r="A203" s="119" t="s">
        <v>371</v>
      </c>
      <c r="B203" s="120" t="s">
        <v>66</v>
      </c>
      <c r="C203" s="119"/>
      <c r="D203" s="119">
        <v>226</v>
      </c>
      <c r="E203" s="116">
        <f t="shared" si="11"/>
        <v>2664557.46</v>
      </c>
      <c r="F203" s="143"/>
      <c r="G203" s="143"/>
      <c r="H203" s="143"/>
      <c r="I203" s="143"/>
      <c r="J203" s="143"/>
      <c r="K203" s="143"/>
      <c r="L203" s="143"/>
      <c r="M203" s="143"/>
      <c r="N203" s="143">
        <v>2000257.46</v>
      </c>
      <c r="O203" s="143"/>
      <c r="P203" s="143">
        <v>664300</v>
      </c>
    </row>
    <row r="204" spans="1:17" s="27" customFormat="1" ht="19.5" x14ac:dyDescent="0.35">
      <c r="A204" s="119" t="s">
        <v>372</v>
      </c>
      <c r="B204" s="120" t="s">
        <v>70</v>
      </c>
      <c r="C204" s="119"/>
      <c r="D204" s="119">
        <v>310</v>
      </c>
      <c r="E204" s="116">
        <f t="shared" si="11"/>
        <v>67444</v>
      </c>
      <c r="F204" s="143"/>
      <c r="G204" s="143"/>
      <c r="H204" s="143"/>
      <c r="I204" s="143"/>
      <c r="J204" s="143"/>
      <c r="K204" s="143"/>
      <c r="L204" s="143"/>
      <c r="M204" s="143"/>
      <c r="N204" s="143">
        <v>67444</v>
      </c>
      <c r="O204" s="143"/>
      <c r="P204" s="143"/>
    </row>
    <row r="205" spans="1:17" s="27" customFormat="1" ht="19.5" x14ac:dyDescent="0.35">
      <c r="A205" s="119" t="s">
        <v>373</v>
      </c>
      <c r="B205" s="120" t="s">
        <v>74</v>
      </c>
      <c r="C205" s="119"/>
      <c r="D205" s="119">
        <v>340</v>
      </c>
      <c r="E205" s="116">
        <f>P205+N205</f>
        <v>6566128.5899999999</v>
      </c>
      <c r="F205" s="143"/>
      <c r="G205" s="143"/>
      <c r="H205" s="143"/>
      <c r="I205" s="143"/>
      <c r="J205" s="143"/>
      <c r="K205" s="143"/>
      <c r="L205" s="143"/>
      <c r="M205" s="143"/>
      <c r="N205" s="143">
        <v>6530428.5899999999</v>
      </c>
      <c r="O205" s="143"/>
      <c r="P205" s="143">
        <v>35700</v>
      </c>
    </row>
    <row r="206" spans="1:17" s="27" customFormat="1" ht="19.5" x14ac:dyDescent="0.35">
      <c r="A206" s="157" t="s">
        <v>327</v>
      </c>
      <c r="B206" s="157"/>
      <c r="C206" s="144">
        <v>500</v>
      </c>
      <c r="D206" s="144"/>
      <c r="E206" s="145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  <c r="Q206" s="103"/>
    </row>
    <row r="207" spans="1:17" s="27" customFormat="1" ht="19.5" x14ac:dyDescent="0.35">
      <c r="A207" s="135" t="s">
        <v>17</v>
      </c>
      <c r="B207" s="115" t="s">
        <v>374</v>
      </c>
      <c r="C207" s="114"/>
      <c r="D207" s="135"/>
      <c r="E207" s="116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</row>
    <row r="208" spans="1:17" s="6" customFormat="1" ht="18.75" x14ac:dyDescent="0.3">
      <c r="A208" s="119" t="s">
        <v>19</v>
      </c>
      <c r="B208" s="120" t="s">
        <v>274</v>
      </c>
      <c r="C208" s="119"/>
      <c r="D208" s="129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</row>
    <row r="209" spans="1:16" s="6" customFormat="1" ht="18.75" x14ac:dyDescent="0.3">
      <c r="A209" s="119" t="s">
        <v>21</v>
      </c>
      <c r="B209" s="120" t="s">
        <v>22</v>
      </c>
      <c r="C209" s="119"/>
      <c r="D209" s="129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</row>
    <row r="210" spans="1:16" s="27" customFormat="1" ht="19.5" x14ac:dyDescent="0.35">
      <c r="A210" s="114" t="s">
        <v>25</v>
      </c>
      <c r="B210" s="115" t="s">
        <v>26</v>
      </c>
      <c r="C210" s="114"/>
      <c r="D210" s="135"/>
      <c r="E210" s="116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</row>
    <row r="211" spans="1:16" s="6" customFormat="1" ht="18.75" x14ac:dyDescent="0.3">
      <c r="A211" s="129" t="s">
        <v>27</v>
      </c>
      <c r="B211" s="120" t="s">
        <v>329</v>
      </c>
      <c r="C211" s="129"/>
      <c r="D211" s="129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</row>
    <row r="212" spans="1:16" s="6" customFormat="1" ht="18.75" x14ac:dyDescent="0.3">
      <c r="A212" s="129" t="s">
        <v>29</v>
      </c>
      <c r="B212" s="120" t="s">
        <v>329</v>
      </c>
      <c r="C212" s="129"/>
      <c r="D212" s="129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</row>
    <row r="213" spans="1:16" s="27" customFormat="1" ht="19.5" x14ac:dyDescent="0.35">
      <c r="A213" s="135" t="s">
        <v>205</v>
      </c>
      <c r="B213" s="134" t="s">
        <v>375</v>
      </c>
      <c r="C213" s="135"/>
      <c r="D213" s="135"/>
      <c r="E213" s="116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</row>
    <row r="214" spans="1:16" s="27" customFormat="1" ht="19.5" x14ac:dyDescent="0.35">
      <c r="A214" s="157" t="s">
        <v>328</v>
      </c>
      <c r="B214" s="157"/>
      <c r="C214" s="144">
        <v>600</v>
      </c>
      <c r="D214" s="144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</row>
    <row r="215" spans="1:16" s="27" customFormat="1" ht="19.5" x14ac:dyDescent="0.35">
      <c r="A215" s="135" t="s">
        <v>17</v>
      </c>
      <c r="B215" s="115" t="s">
        <v>18</v>
      </c>
      <c r="C215" s="114"/>
      <c r="D215" s="135"/>
      <c r="E215" s="116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</row>
    <row r="216" spans="1:16" s="27" customFormat="1" ht="19.5" x14ac:dyDescent="0.35">
      <c r="A216" s="135" t="s">
        <v>17</v>
      </c>
      <c r="B216" s="115" t="s">
        <v>374</v>
      </c>
      <c r="C216" s="114"/>
      <c r="D216" s="135"/>
      <c r="E216" s="116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</row>
    <row r="217" spans="1:16" s="6" customFormat="1" ht="18.75" x14ac:dyDescent="0.3">
      <c r="A217" s="119" t="s">
        <v>19</v>
      </c>
      <c r="B217" s="120" t="s">
        <v>274</v>
      </c>
      <c r="C217" s="119"/>
      <c r="D217" s="129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</row>
    <row r="218" spans="1:16" s="6" customFormat="1" ht="18.75" x14ac:dyDescent="0.3">
      <c r="A218" s="119" t="s">
        <v>21</v>
      </c>
      <c r="B218" s="120" t="s">
        <v>22</v>
      </c>
      <c r="C218" s="119"/>
      <c r="D218" s="129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</row>
    <row r="219" spans="1:16" s="27" customFormat="1" ht="19.5" x14ac:dyDescent="0.35">
      <c r="A219" s="114" t="s">
        <v>25</v>
      </c>
      <c r="B219" s="115" t="s">
        <v>26</v>
      </c>
      <c r="C219" s="114"/>
      <c r="D219" s="135"/>
      <c r="E219" s="116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</row>
    <row r="220" spans="1:16" s="6" customFormat="1" ht="18.75" x14ac:dyDescent="0.3">
      <c r="A220" s="129" t="s">
        <v>27</v>
      </c>
      <c r="B220" s="120" t="s">
        <v>329</v>
      </c>
      <c r="C220" s="129"/>
      <c r="D220" s="129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</row>
    <row r="221" spans="1:16" s="6" customFormat="1" ht="18.75" x14ac:dyDescent="0.3">
      <c r="A221" s="129" t="s">
        <v>29</v>
      </c>
      <c r="B221" s="120" t="s">
        <v>329</v>
      </c>
      <c r="C221" s="129"/>
      <c r="D221" s="129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</row>
    <row r="222" spans="1:16" s="27" customFormat="1" ht="19.5" x14ac:dyDescent="0.35">
      <c r="A222" s="135" t="s">
        <v>205</v>
      </c>
      <c r="B222" s="134" t="s">
        <v>375</v>
      </c>
      <c r="C222" s="135"/>
      <c r="D222" s="135"/>
      <c r="E222" s="116">
        <f>P222</f>
        <v>0</v>
      </c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</row>
  </sheetData>
  <mergeCells count="22">
    <mergeCell ref="A214:B214"/>
    <mergeCell ref="A16:B16"/>
    <mergeCell ref="C12:C15"/>
    <mergeCell ref="A29:B29"/>
    <mergeCell ref="L14:M14"/>
    <mergeCell ref="F14:F15"/>
    <mergeCell ref="F12:P12"/>
    <mergeCell ref="G14:J14"/>
    <mergeCell ref="E12:E15"/>
    <mergeCell ref="F13:J13"/>
    <mergeCell ref="K13:M13"/>
    <mergeCell ref="K14:K15"/>
    <mergeCell ref="N13:P14"/>
    <mergeCell ref="L2:P2"/>
    <mergeCell ref="L6:P6"/>
    <mergeCell ref="A206:B206"/>
    <mergeCell ref="A12:A15"/>
    <mergeCell ref="B12:B15"/>
    <mergeCell ref="D12:D15"/>
    <mergeCell ref="A8:P8"/>
    <mergeCell ref="A10:P10"/>
    <mergeCell ref="A9:P9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4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274"/>
  <sheetViews>
    <sheetView view="pageBreakPreview" topLeftCell="A86" zoomScale="70" zoomScaleNormal="80" zoomScaleSheetLayoutView="70" workbookViewId="0">
      <selection activeCell="B124" sqref="B124"/>
    </sheetView>
  </sheetViews>
  <sheetFormatPr defaultRowHeight="15" x14ac:dyDescent="0.25"/>
  <cols>
    <col min="1" max="1" width="9" customWidth="1"/>
    <col min="2" max="2" width="65.140625" customWidth="1"/>
    <col min="3" max="3" width="11.42578125" customWidth="1"/>
    <col min="4" max="4" width="19.7109375" bestFit="1" customWidth="1"/>
    <col min="5" max="5" width="17.7109375" bestFit="1" customWidth="1"/>
    <col min="6" max="6" width="17.7109375" customWidth="1"/>
    <col min="7" max="7" width="19.7109375" bestFit="1" customWidth="1"/>
    <col min="8" max="8" width="17.7109375" bestFit="1" customWidth="1"/>
    <col min="9" max="10" width="11.28515625" customWidth="1"/>
    <col min="11" max="12" width="17.7109375" bestFit="1" customWidth="1"/>
    <col min="13" max="13" width="15.28515625" bestFit="1" customWidth="1"/>
    <col min="14" max="14" width="15.140625" customWidth="1"/>
    <col min="15" max="18" width="11.28515625" hidden="1" customWidth="1"/>
    <col min="19" max="20" width="17.7109375" bestFit="1" customWidth="1"/>
  </cols>
  <sheetData>
    <row r="1" spans="1:28" s="6" customFormat="1" ht="33" hidden="1" x14ac:dyDescent="0.25">
      <c r="A1" s="1"/>
      <c r="B1" s="2"/>
      <c r="C1" s="3"/>
      <c r="D1" s="3"/>
      <c r="E1" s="3"/>
      <c r="F1" s="3"/>
      <c r="G1" s="4"/>
      <c r="H1" s="4"/>
      <c r="I1" s="5"/>
      <c r="J1" s="5"/>
      <c r="K1" s="5"/>
      <c r="L1" s="5"/>
      <c r="M1" s="170" t="s">
        <v>0</v>
      </c>
      <c r="N1" s="170"/>
      <c r="O1" s="170"/>
      <c r="P1" s="170"/>
      <c r="Q1" s="170"/>
      <c r="R1" s="170"/>
      <c r="S1" s="170"/>
      <c r="T1" s="170"/>
      <c r="U1" s="170"/>
    </row>
    <row r="2" spans="1:28" s="6" customFormat="1" ht="33" hidden="1" x14ac:dyDescent="0.25">
      <c r="A2" s="1"/>
      <c r="B2" s="2"/>
      <c r="C2" s="3"/>
      <c r="D2" s="3"/>
      <c r="E2" s="3"/>
      <c r="F2" s="3"/>
      <c r="G2" s="3"/>
      <c r="H2" s="3"/>
      <c r="I2" s="5"/>
      <c r="J2" s="5"/>
      <c r="K2" s="5"/>
      <c r="L2" s="5"/>
      <c r="M2" s="170" t="s">
        <v>1</v>
      </c>
      <c r="N2" s="170"/>
      <c r="O2" s="170"/>
      <c r="P2" s="170"/>
      <c r="Q2" s="170"/>
      <c r="R2" s="170"/>
      <c r="S2" s="170"/>
      <c r="T2" s="170"/>
      <c r="U2" s="170"/>
    </row>
    <row r="3" spans="1:28" s="6" customFormat="1" ht="33" hidden="1" x14ac:dyDescent="0.25">
      <c r="A3" s="1"/>
      <c r="B3" s="2"/>
      <c r="C3" s="3"/>
      <c r="D3" s="3"/>
      <c r="E3" s="3"/>
      <c r="F3" s="3"/>
      <c r="G3" s="3"/>
      <c r="H3" s="3"/>
      <c r="I3" s="5"/>
      <c r="J3" s="5"/>
      <c r="K3" s="5"/>
      <c r="L3" s="5"/>
      <c r="M3" s="170" t="s">
        <v>2</v>
      </c>
      <c r="N3" s="170"/>
      <c r="O3" s="170"/>
      <c r="P3" s="170"/>
      <c r="Q3" s="170"/>
      <c r="R3" s="170"/>
      <c r="S3" s="170"/>
      <c r="T3" s="170"/>
      <c r="U3" s="170"/>
    </row>
    <row r="4" spans="1:28" s="6" customFormat="1" ht="33" hidden="1" x14ac:dyDescent="0.25">
      <c r="A4" s="1"/>
      <c r="B4" s="2"/>
      <c r="C4" s="3"/>
      <c r="D4" s="3"/>
      <c r="E4" s="3"/>
      <c r="F4" s="3"/>
      <c r="G4" s="4"/>
      <c r="H4" s="4"/>
      <c r="I4" s="7"/>
      <c r="J4" s="7"/>
      <c r="K4" s="7"/>
      <c r="L4" s="7"/>
      <c r="M4" s="8"/>
      <c r="N4" s="8"/>
      <c r="O4" s="8"/>
      <c r="P4" s="8"/>
      <c r="Q4" s="8"/>
      <c r="R4" s="8"/>
      <c r="S4" s="8"/>
      <c r="T4" s="8"/>
    </row>
    <row r="5" spans="1:28" s="6" customFormat="1" ht="31.5" customHeight="1" x14ac:dyDescent="0.25">
      <c r="A5" s="9"/>
      <c r="B5" s="10"/>
      <c r="C5" s="11"/>
    </row>
    <row r="6" spans="1:28" s="6" customFormat="1" ht="33.75" customHeight="1" x14ac:dyDescent="0.25">
      <c r="A6" s="9"/>
      <c r="B6" s="10"/>
      <c r="C6" s="11"/>
    </row>
    <row r="7" spans="1:28" s="6" customFormat="1" ht="95.25" customHeight="1" x14ac:dyDescent="0.25">
      <c r="A7" s="171" t="s">
        <v>303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79"/>
      <c r="V7" s="79"/>
      <c r="W7" s="79"/>
      <c r="X7" s="79"/>
      <c r="Y7" s="79"/>
      <c r="Z7" s="79"/>
    </row>
    <row r="8" spans="1:28" s="6" customFormat="1" ht="63.75" customHeight="1" x14ac:dyDescent="0.25">
      <c r="A8" s="167" t="s">
        <v>276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35"/>
      <c r="V8" s="35"/>
      <c r="W8" s="35"/>
      <c r="X8" s="35"/>
      <c r="Y8" s="35"/>
      <c r="Z8" s="35"/>
      <c r="AA8" s="35"/>
      <c r="AB8" s="35"/>
    </row>
    <row r="9" spans="1:28" s="6" customFormat="1" ht="16.5" customHeight="1" x14ac:dyDescent="0.5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</row>
    <row r="10" spans="1:28" s="6" customFormat="1" ht="19.5" hidden="1" thickBot="1" x14ac:dyDescent="0.35">
      <c r="A10" s="9"/>
      <c r="B10" s="10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28" s="15" customFormat="1" ht="16.5" customHeight="1" x14ac:dyDescent="0.25">
      <c r="A11" s="158" t="s">
        <v>4</v>
      </c>
      <c r="B11" s="159" t="s">
        <v>5</v>
      </c>
      <c r="C11" s="158" t="s">
        <v>6</v>
      </c>
      <c r="D11" s="166" t="s">
        <v>7</v>
      </c>
      <c r="E11" s="166"/>
      <c r="F11" s="87"/>
      <c r="G11" s="166" t="s">
        <v>8</v>
      </c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</row>
    <row r="12" spans="1:28" s="16" customFormat="1" ht="15.75" customHeight="1" x14ac:dyDescent="0.25">
      <c r="A12" s="158"/>
      <c r="B12" s="159"/>
      <c r="C12" s="158"/>
      <c r="D12" s="166"/>
      <c r="E12" s="166"/>
      <c r="F12" s="87"/>
      <c r="G12" s="165" t="s">
        <v>9</v>
      </c>
      <c r="H12" s="165"/>
      <c r="I12" s="158" t="s">
        <v>10</v>
      </c>
      <c r="J12" s="158"/>
      <c r="K12" s="158"/>
      <c r="L12" s="158"/>
      <c r="M12" s="158"/>
      <c r="N12" s="158"/>
      <c r="O12" s="158"/>
      <c r="P12" s="158"/>
      <c r="Q12" s="158"/>
      <c r="R12" s="158"/>
      <c r="S12" s="165" t="s">
        <v>11</v>
      </c>
      <c r="T12" s="165"/>
    </row>
    <row r="13" spans="1:28" s="17" customFormat="1" ht="85.5" customHeight="1" x14ac:dyDescent="0.25">
      <c r="A13" s="158"/>
      <c r="B13" s="159"/>
      <c r="C13" s="158"/>
      <c r="D13" s="166"/>
      <c r="E13" s="166"/>
      <c r="F13" s="87"/>
      <c r="G13" s="165"/>
      <c r="H13" s="165"/>
      <c r="I13" s="158" t="s">
        <v>12</v>
      </c>
      <c r="J13" s="158"/>
      <c r="K13" s="158" t="s">
        <v>13</v>
      </c>
      <c r="L13" s="158"/>
      <c r="M13" s="158" t="s">
        <v>14</v>
      </c>
      <c r="N13" s="158"/>
      <c r="O13" s="158" t="s">
        <v>15</v>
      </c>
      <c r="P13" s="158"/>
      <c r="Q13" s="158" t="s">
        <v>278</v>
      </c>
      <c r="R13" s="158"/>
      <c r="S13" s="165"/>
      <c r="T13" s="165"/>
    </row>
    <row r="14" spans="1:28" s="17" customFormat="1" ht="40.5" customHeight="1" x14ac:dyDescent="0.25">
      <c r="A14" s="158"/>
      <c r="B14" s="159"/>
      <c r="C14" s="158"/>
      <c r="D14" s="44" t="s">
        <v>295</v>
      </c>
      <c r="E14" s="44" t="s">
        <v>296</v>
      </c>
      <c r="F14" s="87"/>
      <c r="G14" s="45" t="s">
        <v>295</v>
      </c>
      <c r="H14" s="45" t="s">
        <v>296</v>
      </c>
      <c r="I14" s="45" t="s">
        <v>295</v>
      </c>
      <c r="J14" s="45" t="s">
        <v>296</v>
      </c>
      <c r="K14" s="45" t="s">
        <v>295</v>
      </c>
      <c r="L14" s="45" t="s">
        <v>296</v>
      </c>
      <c r="M14" s="45" t="s">
        <v>295</v>
      </c>
      <c r="N14" s="45" t="s">
        <v>296</v>
      </c>
      <c r="O14" s="45" t="s">
        <v>295</v>
      </c>
      <c r="P14" s="45" t="s">
        <v>296</v>
      </c>
      <c r="Q14" s="45" t="s">
        <v>295</v>
      </c>
      <c r="R14" s="45" t="s">
        <v>296</v>
      </c>
      <c r="S14" s="45" t="s">
        <v>295</v>
      </c>
      <c r="T14" s="45" t="s">
        <v>296</v>
      </c>
    </row>
    <row r="15" spans="1:28" s="18" customFormat="1" ht="31.5" customHeight="1" x14ac:dyDescent="0.25">
      <c r="A15" s="168" t="s">
        <v>16</v>
      </c>
      <c r="B15" s="168"/>
      <c r="C15" s="46"/>
      <c r="D15" s="34">
        <f t="shared" ref="D15" si="0">SUM(D16+D20+D26+D27+D28+D29+D30)</f>
        <v>34767444.759999998</v>
      </c>
      <c r="E15" s="34">
        <f t="shared" ref="E15:T15" si="1">SUM(E16+E20+E26+E27+E28+E29+E30)</f>
        <v>34767444.759999998</v>
      </c>
      <c r="F15" s="34"/>
      <c r="G15" s="34">
        <f t="shared" si="1"/>
        <v>33</v>
      </c>
      <c r="H15" s="34">
        <f t="shared" si="1"/>
        <v>33</v>
      </c>
      <c r="I15" s="34">
        <f t="shared" si="1"/>
        <v>0</v>
      </c>
      <c r="J15" s="34">
        <f t="shared" si="1"/>
        <v>0</v>
      </c>
      <c r="K15" s="34">
        <f t="shared" si="1"/>
        <v>0</v>
      </c>
      <c r="L15" s="34">
        <f t="shared" si="1"/>
        <v>0</v>
      </c>
      <c r="M15" s="34">
        <f t="shared" si="1"/>
        <v>0</v>
      </c>
      <c r="N15" s="34">
        <f t="shared" si="1"/>
        <v>0</v>
      </c>
      <c r="O15" s="34">
        <f t="shared" si="1"/>
        <v>0</v>
      </c>
      <c r="P15" s="34">
        <f t="shared" si="1"/>
        <v>0</v>
      </c>
      <c r="Q15" s="34">
        <f t="shared" si="1"/>
        <v>0</v>
      </c>
      <c r="R15" s="34">
        <f t="shared" si="1"/>
        <v>0</v>
      </c>
      <c r="S15" s="34">
        <f t="shared" si="1"/>
        <v>34767411.759999998</v>
      </c>
      <c r="T15" s="34">
        <f t="shared" si="1"/>
        <v>34767411.759999998</v>
      </c>
    </row>
    <row r="16" spans="1:28" s="18" customFormat="1" ht="34.5" x14ac:dyDescent="0.25">
      <c r="A16" s="47" t="s">
        <v>17</v>
      </c>
      <c r="B16" s="48" t="s">
        <v>18</v>
      </c>
      <c r="C16" s="49"/>
      <c r="D16" s="34">
        <f>SUM(G16:S16)</f>
        <v>0</v>
      </c>
      <c r="E16" s="34">
        <f>SUM(H16:T16)</f>
        <v>0</v>
      </c>
      <c r="F16" s="34"/>
      <c r="G16" s="34">
        <f t="shared" ref="G16:T16" si="2">SUM(I16:U16)</f>
        <v>0</v>
      </c>
      <c r="H16" s="34">
        <f t="shared" si="2"/>
        <v>0</v>
      </c>
      <c r="I16" s="34">
        <f t="shared" si="2"/>
        <v>0</v>
      </c>
      <c r="J16" s="34">
        <f t="shared" si="2"/>
        <v>0</v>
      </c>
      <c r="K16" s="34">
        <f t="shared" si="2"/>
        <v>0</v>
      </c>
      <c r="L16" s="34">
        <f t="shared" si="2"/>
        <v>0</v>
      </c>
      <c r="M16" s="34">
        <f t="shared" si="2"/>
        <v>0</v>
      </c>
      <c r="N16" s="34">
        <f t="shared" si="2"/>
        <v>0</v>
      </c>
      <c r="O16" s="34">
        <f t="shared" si="2"/>
        <v>0</v>
      </c>
      <c r="P16" s="34">
        <f t="shared" si="2"/>
        <v>0</v>
      </c>
      <c r="Q16" s="34">
        <f t="shared" si="2"/>
        <v>0</v>
      </c>
      <c r="R16" s="34">
        <f t="shared" si="2"/>
        <v>0</v>
      </c>
      <c r="S16" s="34">
        <f t="shared" si="2"/>
        <v>0</v>
      </c>
      <c r="T16" s="34">
        <f t="shared" si="2"/>
        <v>0</v>
      </c>
    </row>
    <row r="17" spans="1:20" s="6" customFormat="1" ht="16.5" x14ac:dyDescent="0.25">
      <c r="A17" s="50" t="s">
        <v>19</v>
      </c>
      <c r="B17" s="28" t="s">
        <v>20</v>
      </c>
      <c r="C17" s="51"/>
      <c r="D17" s="33">
        <f>SUM(G17+I17+K17+M17+O17+Q17+S17)</f>
        <v>0</v>
      </c>
      <c r="E17" s="33">
        <f>SUM(H17+J17+L17+N17+P17+R17+T17)</f>
        <v>0</v>
      </c>
      <c r="F17" s="33"/>
      <c r="G17" s="33">
        <f>SUM('ДОУ БУ'!G17+'ДОУ АУ'!G17)</f>
        <v>0</v>
      </c>
      <c r="H17" s="33">
        <f>SUM('ДОУ БУ'!H17+'ДОУ АУ'!H17)</f>
        <v>0</v>
      </c>
      <c r="I17" s="33">
        <f>SUM('ДОУ БУ'!I17+'ДОУ АУ'!I17)</f>
        <v>0</v>
      </c>
      <c r="J17" s="33">
        <f>SUM('ДОУ БУ'!J17+'ДОУ АУ'!J17)</f>
        <v>0</v>
      </c>
      <c r="K17" s="33">
        <f>SUM('ДОУ БУ'!K17+'ДОУ АУ'!K17)</f>
        <v>0</v>
      </c>
      <c r="L17" s="33">
        <f>SUM('ДОУ БУ'!L17+'ДОУ АУ'!L17)</f>
        <v>0</v>
      </c>
      <c r="M17" s="33">
        <f>SUM('ДОУ БУ'!M17+'ДОУ АУ'!M17)</f>
        <v>0</v>
      </c>
      <c r="N17" s="33">
        <f>SUM('ДОУ БУ'!N17+'ДОУ АУ'!N17)</f>
        <v>0</v>
      </c>
      <c r="O17" s="33">
        <f>SUM('ДОУ БУ'!O17+'ДОУ АУ'!O17)</f>
        <v>0</v>
      </c>
      <c r="P17" s="33">
        <f>SUM('ДОУ БУ'!P17+'ДОУ АУ'!P17)</f>
        <v>0</v>
      </c>
      <c r="Q17" s="33">
        <f>SUM('ДОУ БУ'!Q17+'ДОУ АУ'!Q17)</f>
        <v>0</v>
      </c>
      <c r="R17" s="33">
        <f>SUM('ДОУ БУ'!R17+'ДОУ АУ'!R17)</f>
        <v>0</v>
      </c>
      <c r="S17" s="33">
        <f>SUM('ДОУ БУ'!S17+'ДОУ АУ'!S17)</f>
        <v>0</v>
      </c>
      <c r="T17" s="33">
        <f>SUM('ДОУ БУ'!T17+'ДОУ АУ'!T17)</f>
        <v>0</v>
      </c>
    </row>
    <row r="18" spans="1:20" s="6" customFormat="1" ht="16.5" x14ac:dyDescent="0.25">
      <c r="A18" s="50" t="s">
        <v>21</v>
      </c>
      <c r="B18" s="28" t="s">
        <v>22</v>
      </c>
      <c r="C18" s="51"/>
      <c r="D18" s="33">
        <f t="shared" ref="D18:D81" si="3">SUM(G18+I18+K18+M18+O18+Q18+S18)</f>
        <v>0</v>
      </c>
      <c r="E18" s="33">
        <f t="shared" ref="E18:E81" si="4">SUM(H18+J18+L18+N18+P18+R18+T18)</f>
        <v>0</v>
      </c>
      <c r="F18" s="33"/>
      <c r="G18" s="33">
        <f>SUM('ДОУ БУ'!G18+'ДОУ АУ'!G18)</f>
        <v>0</v>
      </c>
      <c r="H18" s="33"/>
      <c r="I18" s="33">
        <f>SUM('ДОУ БУ'!I18+'ДОУ АУ'!I18)</f>
        <v>0</v>
      </c>
      <c r="J18" s="33"/>
      <c r="K18" s="33">
        <f>SUM('ДОУ БУ'!K18+'ДОУ АУ'!K18)</f>
        <v>0</v>
      </c>
      <c r="L18" s="33"/>
      <c r="M18" s="33">
        <f>SUM('ДОУ БУ'!M18+'ДОУ АУ'!M18)</f>
        <v>0</v>
      </c>
      <c r="N18" s="33"/>
      <c r="O18" s="33">
        <f>SUM('ДОУ БУ'!O18+'ДОУ АУ'!O18)</f>
        <v>0</v>
      </c>
      <c r="P18" s="33"/>
      <c r="Q18" s="33"/>
      <c r="R18" s="33"/>
      <c r="S18" s="33">
        <f>SUM('ДОУ БУ'!S18+'ДОУ АУ'!S18)</f>
        <v>0</v>
      </c>
      <c r="T18" s="33">
        <f>SUM('ДОУ БУ'!T18+'ДОУ АУ'!T18)</f>
        <v>0</v>
      </c>
    </row>
    <row r="19" spans="1:20" s="6" customFormat="1" ht="16.5" hidden="1" x14ac:dyDescent="0.25">
      <c r="A19" s="52"/>
      <c r="B19" s="28"/>
      <c r="C19" s="51"/>
      <c r="D19" s="33">
        <f t="shared" si="3"/>
        <v>0</v>
      </c>
      <c r="E19" s="33">
        <f t="shared" si="4"/>
        <v>0</v>
      </c>
      <c r="F19" s="33"/>
      <c r="G19" s="33">
        <f>SUM('ДОУ БУ'!G19+'ДОУ АУ'!G19)</f>
        <v>0</v>
      </c>
      <c r="H19" s="33"/>
      <c r="I19" s="33">
        <f>SUM('ДОУ БУ'!I19+'ДОУ АУ'!I19)</f>
        <v>0</v>
      </c>
      <c r="J19" s="33"/>
      <c r="K19" s="33">
        <f>SUM('ДОУ БУ'!K19+'ДОУ АУ'!K19)</f>
        <v>0</v>
      </c>
      <c r="L19" s="33"/>
      <c r="M19" s="33">
        <f>SUM('ДОУ БУ'!M19+'ДОУ АУ'!M19)</f>
        <v>0</v>
      </c>
      <c r="N19" s="33"/>
      <c r="O19" s="33">
        <f>SUM('ДОУ БУ'!O19+'ДОУ АУ'!O19)</f>
        <v>0</v>
      </c>
      <c r="P19" s="33"/>
      <c r="Q19" s="33"/>
      <c r="R19" s="33"/>
      <c r="S19" s="33">
        <f>SUM('ДОУ БУ'!S19+'ДОУ АУ'!S19)</f>
        <v>0</v>
      </c>
      <c r="T19" s="33">
        <f>SUM('ДОУ БУ'!T19+'ДОУ АУ'!T19)</f>
        <v>0</v>
      </c>
    </row>
    <row r="20" spans="1:20" s="20" customFormat="1" ht="17.25" x14ac:dyDescent="0.25">
      <c r="A20" s="53" t="s">
        <v>25</v>
      </c>
      <c r="B20" s="48" t="s">
        <v>26</v>
      </c>
      <c r="C20" s="54"/>
      <c r="D20" s="25">
        <f t="shared" ref="D20:T20" si="5">SUM(D21:D25)</f>
        <v>33</v>
      </c>
      <c r="E20" s="25">
        <f t="shared" si="5"/>
        <v>33</v>
      </c>
      <c r="F20" s="25"/>
      <c r="G20" s="25">
        <f t="shared" si="5"/>
        <v>33</v>
      </c>
      <c r="H20" s="25">
        <f t="shared" si="5"/>
        <v>33</v>
      </c>
      <c r="I20" s="25">
        <f t="shared" si="5"/>
        <v>0</v>
      </c>
      <c r="J20" s="25">
        <f t="shared" si="5"/>
        <v>0</v>
      </c>
      <c r="K20" s="25">
        <f t="shared" si="5"/>
        <v>0</v>
      </c>
      <c r="L20" s="25">
        <f t="shared" si="5"/>
        <v>0</v>
      </c>
      <c r="M20" s="25">
        <f t="shared" si="5"/>
        <v>0</v>
      </c>
      <c r="N20" s="25">
        <f t="shared" si="5"/>
        <v>0</v>
      </c>
      <c r="O20" s="25">
        <f t="shared" si="5"/>
        <v>0</v>
      </c>
      <c r="P20" s="25">
        <f t="shared" si="5"/>
        <v>0</v>
      </c>
      <c r="Q20" s="25">
        <f t="shared" si="5"/>
        <v>0</v>
      </c>
      <c r="R20" s="25">
        <f t="shared" si="5"/>
        <v>0</v>
      </c>
      <c r="S20" s="25">
        <f t="shared" si="5"/>
        <v>0</v>
      </c>
      <c r="T20" s="25">
        <f t="shared" si="5"/>
        <v>0</v>
      </c>
    </row>
    <row r="21" spans="1:20" s="22" customFormat="1" ht="49.5" x14ac:dyDescent="0.25">
      <c r="A21" s="50" t="s">
        <v>27</v>
      </c>
      <c r="B21" s="28" t="s">
        <v>28</v>
      </c>
      <c r="C21" s="55"/>
      <c r="D21" s="33">
        <f t="shared" si="3"/>
        <v>33</v>
      </c>
      <c r="E21" s="33">
        <f t="shared" si="4"/>
        <v>33</v>
      </c>
      <c r="F21" s="33"/>
      <c r="G21" s="33">
        <f>SUM('ДОУ БУ'!G21+'ДОУ АУ'!G21)</f>
        <v>33</v>
      </c>
      <c r="H21" s="33">
        <f>SUM('ДОУ БУ'!H21+'ДОУ АУ'!H21)</f>
        <v>33</v>
      </c>
      <c r="I21" s="33">
        <f>SUM('ДОУ БУ'!I21+'ДОУ АУ'!I21)</f>
        <v>0</v>
      </c>
      <c r="J21" s="33">
        <f>SUM('ДОУ БУ'!J21+'ДОУ АУ'!J21)</f>
        <v>0</v>
      </c>
      <c r="K21" s="33">
        <f>SUM('ДОУ БУ'!K21+'ДОУ АУ'!K21)</f>
        <v>0</v>
      </c>
      <c r="L21" s="33">
        <f>SUM('ДОУ БУ'!L21+'ДОУ АУ'!L21)</f>
        <v>0</v>
      </c>
      <c r="M21" s="33">
        <f>SUM('ДОУ БУ'!M21+'ДОУ АУ'!M21)</f>
        <v>0</v>
      </c>
      <c r="N21" s="33">
        <f>SUM('ДОУ БУ'!N21+'ДОУ АУ'!N21)</f>
        <v>0</v>
      </c>
      <c r="O21" s="33">
        <f>SUM('ДОУ БУ'!O21+'ДОУ АУ'!O21)</f>
        <v>0</v>
      </c>
      <c r="P21" s="33">
        <f>SUM('ДОУ БУ'!P21+'ДОУ АУ'!P21)</f>
        <v>0</v>
      </c>
      <c r="Q21" s="33">
        <f>SUM('ДОУ БУ'!Q21+'ДОУ АУ'!Q21)</f>
        <v>0</v>
      </c>
      <c r="R21" s="33">
        <f>SUM('ДОУ БУ'!R21+'ДОУ АУ'!R21)</f>
        <v>0</v>
      </c>
      <c r="S21" s="33">
        <f>SUM('ДОУ БУ'!S21+'ДОУ АУ'!S21)</f>
        <v>0</v>
      </c>
      <c r="T21" s="33">
        <f>SUM('ДОУ БУ'!T21+'ДОУ АУ'!T21)</f>
        <v>0</v>
      </c>
    </row>
    <row r="22" spans="1:20" s="22" customFormat="1" ht="33" x14ac:dyDescent="0.25">
      <c r="A22" s="50" t="s">
        <v>29</v>
      </c>
      <c r="B22" s="28" t="s">
        <v>30</v>
      </c>
      <c r="C22" s="55"/>
      <c r="D22" s="33">
        <f t="shared" si="3"/>
        <v>0</v>
      </c>
      <c r="E22" s="33">
        <f t="shared" si="4"/>
        <v>0</v>
      </c>
      <c r="F22" s="33"/>
      <c r="G22" s="33">
        <f>SUM('ДОУ БУ'!G22+'ДОУ АУ'!G22)</f>
        <v>0</v>
      </c>
      <c r="H22" s="33">
        <f>SUM('ДОУ БУ'!H22+'ДОУ АУ'!H22)</f>
        <v>0</v>
      </c>
      <c r="I22" s="33">
        <f>SUM('ДОУ БУ'!I22+'ДОУ АУ'!I22)</f>
        <v>0</v>
      </c>
      <c r="J22" s="33">
        <f>SUM('ДОУ БУ'!J22+'ДОУ АУ'!J22)</f>
        <v>0</v>
      </c>
      <c r="K22" s="33">
        <f>SUM('ДОУ БУ'!K22+'ДОУ АУ'!K22)</f>
        <v>0</v>
      </c>
      <c r="L22" s="33">
        <f>SUM('ДОУ БУ'!L22+'ДОУ АУ'!L22)</f>
        <v>0</v>
      </c>
      <c r="M22" s="33">
        <f>SUM('ДОУ БУ'!M22+'ДОУ АУ'!M22)</f>
        <v>0</v>
      </c>
      <c r="N22" s="33">
        <f>SUM('ДОУ БУ'!N22+'ДОУ АУ'!N22)</f>
        <v>0</v>
      </c>
      <c r="O22" s="33">
        <f>SUM('ДОУ БУ'!O22+'ДОУ АУ'!O22)</f>
        <v>0</v>
      </c>
      <c r="P22" s="33">
        <f>SUM('ДОУ БУ'!P22+'ДОУ АУ'!P22)</f>
        <v>0</v>
      </c>
      <c r="Q22" s="33">
        <f>SUM('ДОУ БУ'!Q22+'ДОУ АУ'!Q22)</f>
        <v>0</v>
      </c>
      <c r="R22" s="33">
        <f>SUM('ДОУ БУ'!R22+'ДОУ АУ'!R22)</f>
        <v>0</v>
      </c>
      <c r="S22" s="33">
        <f>SUM('ДОУ БУ'!S22+'ДОУ АУ'!S22)</f>
        <v>0</v>
      </c>
      <c r="T22" s="33">
        <f>SUM('ДОУ БУ'!T22+'ДОУ АУ'!T22)</f>
        <v>0</v>
      </c>
    </row>
    <row r="23" spans="1:20" s="22" customFormat="1" ht="40.5" customHeight="1" x14ac:dyDescent="0.25">
      <c r="A23" s="50" t="s">
        <v>31</v>
      </c>
      <c r="B23" s="28" t="s">
        <v>32</v>
      </c>
      <c r="C23" s="55"/>
      <c r="D23" s="33">
        <f t="shared" si="3"/>
        <v>0</v>
      </c>
      <c r="E23" s="33">
        <f t="shared" si="4"/>
        <v>0</v>
      </c>
      <c r="F23" s="33"/>
      <c r="G23" s="33">
        <f>SUM('ДОУ БУ'!G23+'ДОУ АУ'!G23)</f>
        <v>0</v>
      </c>
      <c r="H23" s="33">
        <f>SUM('ДОУ БУ'!H23+'ДОУ АУ'!H23)</f>
        <v>0</v>
      </c>
      <c r="I23" s="33">
        <f>SUM('ДОУ БУ'!I23+'ДОУ АУ'!I23)</f>
        <v>0</v>
      </c>
      <c r="J23" s="33">
        <f>SUM('ДОУ БУ'!J23+'ДОУ АУ'!J23)</f>
        <v>0</v>
      </c>
      <c r="K23" s="33">
        <f>SUM('ДОУ БУ'!K23+'ДОУ АУ'!K23)</f>
        <v>0</v>
      </c>
      <c r="L23" s="33">
        <f>SUM('ДОУ БУ'!L23+'ДОУ АУ'!L23)</f>
        <v>0</v>
      </c>
      <c r="M23" s="33">
        <f>SUM('ДОУ БУ'!M23+'ДОУ АУ'!M23)</f>
        <v>0</v>
      </c>
      <c r="N23" s="33">
        <f>SUM('ДОУ БУ'!N23+'ДОУ АУ'!N23)</f>
        <v>0</v>
      </c>
      <c r="O23" s="33">
        <f>SUM('ДОУ БУ'!O23+'ДОУ АУ'!O23)</f>
        <v>0</v>
      </c>
      <c r="P23" s="33">
        <f>SUM('ДОУ БУ'!P23+'ДОУ АУ'!P23)</f>
        <v>0</v>
      </c>
      <c r="Q23" s="33">
        <f>SUM('ДОУ БУ'!Q23+'ДОУ АУ'!Q23)</f>
        <v>0</v>
      </c>
      <c r="R23" s="33">
        <f>SUM('ДОУ БУ'!R23+'ДОУ АУ'!R23)</f>
        <v>0</v>
      </c>
      <c r="S23" s="33">
        <f>SUM('ДОУ БУ'!S23+'ДОУ АУ'!S23)</f>
        <v>0</v>
      </c>
      <c r="T23" s="33">
        <f>SUM('ДОУ БУ'!T23+'ДОУ АУ'!T23)</f>
        <v>0</v>
      </c>
    </row>
    <row r="24" spans="1:20" s="22" customFormat="1" ht="33" hidden="1" customHeight="1" x14ac:dyDescent="0.25">
      <c r="A24" s="50" t="s">
        <v>33</v>
      </c>
      <c r="B24" s="28" t="s">
        <v>34</v>
      </c>
      <c r="C24" s="55"/>
      <c r="D24" s="33">
        <f t="shared" si="3"/>
        <v>0</v>
      </c>
      <c r="E24" s="33">
        <f t="shared" si="4"/>
        <v>0</v>
      </c>
      <c r="F24" s="33"/>
      <c r="G24" s="33">
        <f>SUM('ДОУ БУ'!G24+'ДОУ АУ'!G24)</f>
        <v>0</v>
      </c>
      <c r="H24" s="33">
        <f>SUM('ДОУ БУ'!H24+'ДОУ АУ'!H24)</f>
        <v>0</v>
      </c>
      <c r="I24" s="33">
        <f>SUM('ДОУ БУ'!I24+'ДОУ АУ'!I24)</f>
        <v>0</v>
      </c>
      <c r="J24" s="33">
        <f>SUM('ДОУ БУ'!J24+'ДОУ АУ'!J24)</f>
        <v>0</v>
      </c>
      <c r="K24" s="33">
        <f>SUM('ДОУ БУ'!K24+'ДОУ АУ'!K24)</f>
        <v>0</v>
      </c>
      <c r="L24" s="33">
        <f>SUM('ДОУ БУ'!L24+'ДОУ АУ'!L24)</f>
        <v>0</v>
      </c>
      <c r="M24" s="33">
        <f>SUM('ДОУ БУ'!M24+'ДОУ АУ'!M24)</f>
        <v>0</v>
      </c>
      <c r="N24" s="33">
        <f>SUM('ДОУ БУ'!N24+'ДОУ АУ'!N24)</f>
        <v>0</v>
      </c>
      <c r="O24" s="33">
        <f>SUM('ДОУ БУ'!O24+'ДОУ АУ'!O24)</f>
        <v>0</v>
      </c>
      <c r="P24" s="33">
        <f>SUM('ДОУ БУ'!P24+'ДОУ АУ'!P24)</f>
        <v>0</v>
      </c>
      <c r="Q24" s="33">
        <f>SUM('ДОУ БУ'!Q24+'ДОУ АУ'!Q24)</f>
        <v>0</v>
      </c>
      <c r="R24" s="33">
        <f>SUM('ДОУ БУ'!R24+'ДОУ АУ'!R24)</f>
        <v>0</v>
      </c>
      <c r="S24" s="33">
        <f>SUM('ДОУ БУ'!S24+'ДОУ АУ'!S24)</f>
        <v>0</v>
      </c>
      <c r="T24" s="33">
        <f>SUM('ДОУ БУ'!T24+'ДОУ АУ'!T24)</f>
        <v>0</v>
      </c>
    </row>
    <row r="25" spans="1:20" s="22" customFormat="1" ht="33" hidden="1" customHeight="1" x14ac:dyDescent="0.25">
      <c r="A25" s="50" t="s">
        <v>35</v>
      </c>
      <c r="B25" s="28" t="s">
        <v>36</v>
      </c>
      <c r="C25" s="55"/>
      <c r="D25" s="33">
        <f t="shared" si="3"/>
        <v>0</v>
      </c>
      <c r="E25" s="33">
        <f t="shared" si="4"/>
        <v>0</v>
      </c>
      <c r="F25" s="33"/>
      <c r="G25" s="33">
        <f>SUM('ДОУ БУ'!G25+'ДОУ АУ'!G25)</f>
        <v>0</v>
      </c>
      <c r="H25" s="33">
        <f>SUM('ДОУ БУ'!H25+'ДОУ АУ'!H25)</f>
        <v>0</v>
      </c>
      <c r="I25" s="33">
        <f>SUM('ДОУ БУ'!I25+'ДОУ АУ'!I25)</f>
        <v>0</v>
      </c>
      <c r="J25" s="33">
        <f>SUM('ДОУ БУ'!J25+'ДОУ АУ'!J25)</f>
        <v>0</v>
      </c>
      <c r="K25" s="33">
        <f>SUM('ДОУ БУ'!K25+'ДОУ АУ'!K25)</f>
        <v>0</v>
      </c>
      <c r="L25" s="33">
        <f>SUM('ДОУ БУ'!L25+'ДОУ АУ'!L25)</f>
        <v>0</v>
      </c>
      <c r="M25" s="33">
        <f>SUM('ДОУ БУ'!M25+'ДОУ АУ'!M25)</f>
        <v>0</v>
      </c>
      <c r="N25" s="33">
        <f>SUM('ДОУ БУ'!N25+'ДОУ АУ'!N25)</f>
        <v>0</v>
      </c>
      <c r="O25" s="33">
        <f>SUM('ДОУ БУ'!O25+'ДОУ АУ'!O25)</f>
        <v>0</v>
      </c>
      <c r="P25" s="33">
        <f>SUM('ДОУ БУ'!P25+'ДОУ АУ'!P25)</f>
        <v>0</v>
      </c>
      <c r="Q25" s="33">
        <f>SUM('ДОУ БУ'!Q25+'ДОУ АУ'!Q25)</f>
        <v>0</v>
      </c>
      <c r="R25" s="33">
        <f>SUM('ДОУ БУ'!R25+'ДОУ АУ'!R25)</f>
        <v>0</v>
      </c>
      <c r="S25" s="33">
        <f>SUM('ДОУ БУ'!S25+'ДОУ АУ'!S25)</f>
        <v>0</v>
      </c>
      <c r="T25" s="33">
        <f>SUM('ДОУ БУ'!T25+'ДОУ АУ'!T25)</f>
        <v>0</v>
      </c>
    </row>
    <row r="26" spans="1:20" s="20" customFormat="1" ht="17.25" x14ac:dyDescent="0.25">
      <c r="A26" s="53">
        <v>3</v>
      </c>
      <c r="B26" s="48" t="s">
        <v>37</v>
      </c>
      <c r="C26" s="54"/>
      <c r="D26" s="33">
        <f t="shared" si="3"/>
        <v>0</v>
      </c>
      <c r="E26" s="33">
        <f t="shared" si="4"/>
        <v>0</v>
      </c>
      <c r="F26" s="33"/>
      <c r="G26" s="33">
        <f>SUM('ДОУ БУ'!G26+'ДОУ АУ'!G26)</f>
        <v>0</v>
      </c>
      <c r="H26" s="33">
        <f>SUM('ДОУ БУ'!H26+'ДОУ АУ'!H26)</f>
        <v>0</v>
      </c>
      <c r="I26" s="33">
        <f>SUM('ДОУ БУ'!I26+'ДОУ АУ'!I26)</f>
        <v>0</v>
      </c>
      <c r="J26" s="33">
        <f>SUM('ДОУ БУ'!J26+'ДОУ АУ'!J26)</f>
        <v>0</v>
      </c>
      <c r="K26" s="33">
        <f>SUM('ДОУ БУ'!K26+'ДОУ АУ'!K26)</f>
        <v>0</v>
      </c>
      <c r="L26" s="33">
        <f>SUM('ДОУ БУ'!L26+'ДОУ АУ'!L26)</f>
        <v>0</v>
      </c>
      <c r="M26" s="33">
        <f>SUM('ДОУ БУ'!M26+'ДОУ АУ'!M26)</f>
        <v>0</v>
      </c>
      <c r="N26" s="33">
        <f>SUM('ДОУ БУ'!N26+'ДОУ АУ'!N26)</f>
        <v>0</v>
      </c>
      <c r="O26" s="33">
        <f>SUM('ДОУ БУ'!O26+'ДОУ АУ'!O26)</f>
        <v>0</v>
      </c>
      <c r="P26" s="33">
        <f>SUM('ДОУ БУ'!P26+'ДОУ АУ'!P26)</f>
        <v>0</v>
      </c>
      <c r="Q26" s="33">
        <f>SUM('ДОУ БУ'!Q26+'ДОУ АУ'!Q26)</f>
        <v>0</v>
      </c>
      <c r="R26" s="33">
        <f>SUM('ДОУ БУ'!R26+'ДОУ АУ'!R26)</f>
        <v>0</v>
      </c>
      <c r="S26" s="33">
        <f>SUM('ДОУ БУ'!S26+'ДОУ АУ'!S26)</f>
        <v>0</v>
      </c>
      <c r="T26" s="33">
        <f>SUM('ДОУ БУ'!T26+'ДОУ АУ'!T26)</f>
        <v>0</v>
      </c>
    </row>
    <row r="27" spans="1:20" s="20" customFormat="1" ht="17.25" x14ac:dyDescent="0.25">
      <c r="A27" s="53">
        <v>4</v>
      </c>
      <c r="B27" s="48" t="s">
        <v>38</v>
      </c>
      <c r="C27" s="54"/>
      <c r="D27" s="33">
        <f t="shared" si="3"/>
        <v>1081502.75</v>
      </c>
      <c r="E27" s="33">
        <f t="shared" si="4"/>
        <v>1081502.75</v>
      </c>
      <c r="F27" s="33"/>
      <c r="G27" s="33">
        <f>SUM('ДОУ БУ'!G27+'ДОУ АУ'!G27)</f>
        <v>0</v>
      </c>
      <c r="H27" s="33">
        <f>SUM('ДОУ БУ'!H27+'ДОУ АУ'!H27)</f>
        <v>0</v>
      </c>
      <c r="I27" s="33">
        <f>SUM('ДОУ БУ'!I27+'ДОУ АУ'!I27)</f>
        <v>0</v>
      </c>
      <c r="J27" s="33">
        <f>SUM('ДОУ БУ'!J27+'ДОУ АУ'!J27)</f>
        <v>0</v>
      </c>
      <c r="K27" s="33">
        <f>SUM('ДОУ БУ'!K27+'ДОУ АУ'!K27)</f>
        <v>0</v>
      </c>
      <c r="L27" s="33">
        <f>SUM('ДОУ БУ'!L27+'ДОУ АУ'!L27)</f>
        <v>0</v>
      </c>
      <c r="M27" s="33">
        <f>SUM('ДОУ БУ'!M27+'ДОУ АУ'!M27)</f>
        <v>0</v>
      </c>
      <c r="N27" s="33">
        <f>SUM('ДОУ БУ'!N27+'ДОУ АУ'!N27)</f>
        <v>0</v>
      </c>
      <c r="O27" s="33">
        <f>SUM('ДОУ БУ'!O27+'ДОУ АУ'!O27)</f>
        <v>0</v>
      </c>
      <c r="P27" s="33">
        <f>SUM('ДОУ БУ'!P27+'ДОУ АУ'!P27)</f>
        <v>0</v>
      </c>
      <c r="Q27" s="33">
        <f>SUM('ДОУ БУ'!Q27+'ДОУ АУ'!Q27)</f>
        <v>0</v>
      </c>
      <c r="R27" s="33">
        <f>SUM('ДОУ БУ'!R27+'ДОУ АУ'!R27)</f>
        <v>0</v>
      </c>
      <c r="S27" s="33">
        <f>SUM('ДОУ БУ'!S27+'ДОУ АУ'!S27)</f>
        <v>1081502.75</v>
      </c>
      <c r="T27" s="33">
        <f>SUM('ДОУ БУ'!T27+'ДОУ АУ'!T27)</f>
        <v>1081502.75</v>
      </c>
    </row>
    <row r="28" spans="1:20" s="20" customFormat="1" ht="17.25" x14ac:dyDescent="0.25">
      <c r="A28" s="53">
        <v>5</v>
      </c>
      <c r="B28" s="48" t="s">
        <v>39</v>
      </c>
      <c r="C28" s="54"/>
      <c r="D28" s="33">
        <f t="shared" si="3"/>
        <v>55203.62</v>
      </c>
      <c r="E28" s="33">
        <f t="shared" si="4"/>
        <v>55203.62</v>
      </c>
      <c r="F28" s="33"/>
      <c r="G28" s="33">
        <f>SUM('ДОУ БУ'!G28+'ДОУ АУ'!G28)</f>
        <v>0</v>
      </c>
      <c r="H28" s="33">
        <f>SUM('ДОУ БУ'!H28+'ДОУ АУ'!H28)</f>
        <v>0</v>
      </c>
      <c r="I28" s="33">
        <f>SUM('ДОУ БУ'!I28+'ДОУ АУ'!I28)</f>
        <v>0</v>
      </c>
      <c r="J28" s="33">
        <f>SUM('ДОУ БУ'!J28+'ДОУ АУ'!J28)</f>
        <v>0</v>
      </c>
      <c r="K28" s="33">
        <f>SUM('ДОУ БУ'!K28+'ДОУ АУ'!K28)</f>
        <v>0</v>
      </c>
      <c r="L28" s="33">
        <f>SUM('ДОУ БУ'!L28+'ДОУ АУ'!L28)</f>
        <v>0</v>
      </c>
      <c r="M28" s="33">
        <f>SUM('ДОУ БУ'!M28+'ДОУ АУ'!M28)</f>
        <v>0</v>
      </c>
      <c r="N28" s="33">
        <f>SUM('ДОУ БУ'!N28+'ДОУ АУ'!N28)</f>
        <v>0</v>
      </c>
      <c r="O28" s="33">
        <f>SUM('ДОУ БУ'!O28+'ДОУ АУ'!O28)</f>
        <v>0</v>
      </c>
      <c r="P28" s="33">
        <f>SUM('ДОУ БУ'!P28+'ДОУ АУ'!P28)</f>
        <v>0</v>
      </c>
      <c r="Q28" s="33">
        <f>SUM('ДОУ БУ'!Q28+'ДОУ АУ'!Q28)</f>
        <v>0</v>
      </c>
      <c r="R28" s="33">
        <f>SUM('ДОУ БУ'!R28+'ДОУ АУ'!R28)</f>
        <v>0</v>
      </c>
      <c r="S28" s="33">
        <f>SUM('ДОУ БУ'!S28+'ДОУ АУ'!S28)</f>
        <v>55203.62</v>
      </c>
      <c r="T28" s="33">
        <f>SUM('ДОУ БУ'!T28+'ДОУ АУ'!T28)</f>
        <v>55203.62</v>
      </c>
    </row>
    <row r="29" spans="1:20" s="20" customFormat="1" ht="17.25" x14ac:dyDescent="0.25">
      <c r="A29" s="53">
        <v>6</v>
      </c>
      <c r="B29" s="48" t="s">
        <v>40</v>
      </c>
      <c r="C29" s="54"/>
      <c r="D29" s="33">
        <f t="shared" si="3"/>
        <v>30689328.539999999</v>
      </c>
      <c r="E29" s="33">
        <f t="shared" si="4"/>
        <v>30689328.539999999</v>
      </c>
      <c r="F29" s="33"/>
      <c r="G29" s="33">
        <f>SUM('ДОУ БУ'!G29+'ДОУ АУ'!G29)</f>
        <v>0</v>
      </c>
      <c r="H29" s="33">
        <f>SUM('ДОУ БУ'!H29+'ДОУ АУ'!H29)</f>
        <v>0</v>
      </c>
      <c r="I29" s="33">
        <f>SUM('ДОУ БУ'!I29+'ДОУ АУ'!I29)</f>
        <v>0</v>
      </c>
      <c r="J29" s="33">
        <f>SUM('ДОУ БУ'!J29+'ДОУ АУ'!J29)</f>
        <v>0</v>
      </c>
      <c r="K29" s="33">
        <f>SUM('ДОУ БУ'!K29+'ДОУ АУ'!K29)</f>
        <v>0</v>
      </c>
      <c r="L29" s="33">
        <f>SUM('ДОУ БУ'!L29+'ДОУ АУ'!L29)</f>
        <v>0</v>
      </c>
      <c r="M29" s="33">
        <f>SUM('ДОУ БУ'!M29+'ДОУ АУ'!M29)</f>
        <v>0</v>
      </c>
      <c r="N29" s="33">
        <f>SUM('ДОУ БУ'!N29+'ДОУ АУ'!N29)</f>
        <v>0</v>
      </c>
      <c r="O29" s="33">
        <f>SUM('ДОУ БУ'!O29+'ДОУ АУ'!O29)</f>
        <v>0</v>
      </c>
      <c r="P29" s="33">
        <f>SUM('ДОУ БУ'!P29+'ДОУ АУ'!P29)</f>
        <v>0</v>
      </c>
      <c r="Q29" s="33">
        <f>SUM('ДОУ БУ'!Q29+'ДОУ АУ'!Q29)</f>
        <v>0</v>
      </c>
      <c r="R29" s="33">
        <f>SUM('ДОУ БУ'!R29+'ДОУ АУ'!R29)</f>
        <v>0</v>
      </c>
      <c r="S29" s="33">
        <f>SUM('ДОУ БУ'!S29+'ДОУ АУ'!S29)</f>
        <v>30689328.539999999</v>
      </c>
      <c r="T29" s="33">
        <f>SUM('ДОУ БУ'!T29+'ДОУ АУ'!T29)</f>
        <v>30689328.539999999</v>
      </c>
    </row>
    <row r="30" spans="1:20" s="20" customFormat="1" ht="17.25" x14ac:dyDescent="0.25">
      <c r="A30" s="53">
        <v>7</v>
      </c>
      <c r="B30" s="48" t="s">
        <v>41</v>
      </c>
      <c r="C30" s="54"/>
      <c r="D30" s="33">
        <f t="shared" si="3"/>
        <v>2941376.8499999996</v>
      </c>
      <c r="E30" s="33">
        <f t="shared" si="4"/>
        <v>2941376.8499999996</v>
      </c>
      <c r="F30" s="33"/>
      <c r="G30" s="33">
        <f>SUM('ДОУ БУ'!G30+'ДОУ АУ'!G30)</f>
        <v>0</v>
      </c>
      <c r="H30" s="33">
        <f>SUM('ДОУ БУ'!H30+'ДОУ АУ'!H30)</f>
        <v>0</v>
      </c>
      <c r="I30" s="33">
        <f>SUM('ДОУ БУ'!I30+'ДОУ АУ'!I30)</f>
        <v>0</v>
      </c>
      <c r="J30" s="33">
        <f>SUM('ДОУ БУ'!J30+'ДОУ АУ'!J30)</f>
        <v>0</v>
      </c>
      <c r="K30" s="33">
        <f>SUM('ДОУ БУ'!K30+'ДОУ АУ'!K30)</f>
        <v>0</v>
      </c>
      <c r="L30" s="33">
        <f>SUM('ДОУ БУ'!L30+'ДОУ АУ'!L30)</f>
        <v>0</v>
      </c>
      <c r="M30" s="33">
        <f>SUM('ДОУ БУ'!M30+'ДОУ АУ'!M30)</f>
        <v>0</v>
      </c>
      <c r="N30" s="33">
        <f>SUM('ДОУ БУ'!N30+'ДОУ АУ'!N30)</f>
        <v>0</v>
      </c>
      <c r="O30" s="33">
        <f>SUM('ДОУ БУ'!O30+'ДОУ АУ'!O30)</f>
        <v>0</v>
      </c>
      <c r="P30" s="33">
        <f>SUM('ДОУ БУ'!P30+'ДОУ АУ'!P30)</f>
        <v>0</v>
      </c>
      <c r="Q30" s="33">
        <f>SUM('ДОУ БУ'!Q30+'ДОУ АУ'!Q30)</f>
        <v>0</v>
      </c>
      <c r="R30" s="33">
        <f>SUM('ДОУ БУ'!R30+'ДОУ АУ'!R30)</f>
        <v>0</v>
      </c>
      <c r="S30" s="33">
        <f>SUM('ДОУ БУ'!S30+'ДОУ АУ'!S30)</f>
        <v>2941376.8499999996</v>
      </c>
      <c r="T30" s="33">
        <f>SUM('ДОУ БУ'!T30+'ДОУ АУ'!T30)</f>
        <v>2941376.8499999996</v>
      </c>
    </row>
    <row r="31" spans="1:20" s="20" customFormat="1" ht="20.25" x14ac:dyDescent="0.25">
      <c r="A31" s="163" t="s">
        <v>42</v>
      </c>
      <c r="B31" s="163"/>
      <c r="C31" s="57"/>
      <c r="D31" s="25">
        <f t="shared" ref="D31:J31" si="6">SUM(D32+D36+D42+D43+D44+D45+D46)</f>
        <v>2533507304.6300001</v>
      </c>
      <c r="E31" s="25">
        <f t="shared" si="6"/>
        <v>824640468.06000006</v>
      </c>
      <c r="F31" s="25"/>
      <c r="G31" s="25">
        <f t="shared" si="6"/>
        <v>1055267481.21</v>
      </c>
      <c r="H31" s="25">
        <f t="shared" si="6"/>
        <v>348719374.19999999</v>
      </c>
      <c r="I31" s="25">
        <f t="shared" si="6"/>
        <v>0</v>
      </c>
      <c r="J31" s="25">
        <f t="shared" si="6"/>
        <v>0</v>
      </c>
      <c r="K31" s="25">
        <f t="shared" ref="K31" si="7">SUM(K32+K36+K42+K43+K44+K45+K46)</f>
        <v>913793576</v>
      </c>
      <c r="L31" s="25">
        <f t="shared" ref="L31:T31" si="8">SUM(L32+L36+L42+L43+L44+L45+L46)</f>
        <v>264781500</v>
      </c>
      <c r="M31" s="25">
        <f t="shared" si="8"/>
        <v>1033000</v>
      </c>
      <c r="N31" s="25">
        <f t="shared" si="8"/>
        <v>612500</v>
      </c>
      <c r="O31" s="25">
        <f t="shared" si="8"/>
        <v>0</v>
      </c>
      <c r="P31" s="25">
        <f t="shared" si="8"/>
        <v>0</v>
      </c>
      <c r="Q31" s="25">
        <f t="shared" si="8"/>
        <v>0</v>
      </c>
      <c r="R31" s="25">
        <f t="shared" si="8"/>
        <v>0</v>
      </c>
      <c r="S31" s="25">
        <f t="shared" si="8"/>
        <v>563413247.41999996</v>
      </c>
      <c r="T31" s="25">
        <f t="shared" si="8"/>
        <v>210527093.86000001</v>
      </c>
    </row>
    <row r="32" spans="1:20" s="24" customFormat="1" ht="34.5" x14ac:dyDescent="0.25">
      <c r="A32" s="56" t="s">
        <v>17</v>
      </c>
      <c r="B32" s="48" t="s">
        <v>18</v>
      </c>
      <c r="C32" s="54"/>
      <c r="D32" s="25">
        <f t="shared" ref="D32:J32" si="9">SUM(D33:D35)</f>
        <v>1825997217.6399999</v>
      </c>
      <c r="E32" s="25">
        <f t="shared" si="9"/>
        <v>570626966</v>
      </c>
      <c r="F32" s="25"/>
      <c r="G32" s="25">
        <f t="shared" si="9"/>
        <v>911170641.63999999</v>
      </c>
      <c r="H32" s="25">
        <f t="shared" si="9"/>
        <v>305232966</v>
      </c>
      <c r="I32" s="25">
        <f t="shared" si="9"/>
        <v>0</v>
      </c>
      <c r="J32" s="25">
        <f t="shared" si="9"/>
        <v>0</v>
      </c>
      <c r="K32" s="25">
        <f>SUM(K33:K35)</f>
        <v>913793576</v>
      </c>
      <c r="L32" s="25">
        <f t="shared" ref="L32:T32" si="10">SUM(L33:L35)</f>
        <v>264781500</v>
      </c>
      <c r="M32" s="25">
        <f t="shared" si="10"/>
        <v>1033000</v>
      </c>
      <c r="N32" s="25">
        <f t="shared" si="10"/>
        <v>612500</v>
      </c>
      <c r="O32" s="25">
        <f t="shared" si="10"/>
        <v>0</v>
      </c>
      <c r="P32" s="25">
        <f t="shared" si="10"/>
        <v>0</v>
      </c>
      <c r="Q32" s="25">
        <f t="shared" si="10"/>
        <v>0</v>
      </c>
      <c r="R32" s="25">
        <f t="shared" si="10"/>
        <v>0</v>
      </c>
      <c r="S32" s="25">
        <f t="shared" si="10"/>
        <v>0</v>
      </c>
      <c r="T32" s="25">
        <f t="shared" si="10"/>
        <v>0</v>
      </c>
    </row>
    <row r="33" spans="1:43" s="22" customFormat="1" ht="16.5" x14ac:dyDescent="0.25">
      <c r="A33" s="50" t="s">
        <v>19</v>
      </c>
      <c r="B33" s="28" t="s">
        <v>20</v>
      </c>
      <c r="C33" s="55"/>
      <c r="D33" s="33">
        <f t="shared" si="3"/>
        <v>1776321548.1399999</v>
      </c>
      <c r="E33" s="33">
        <f t="shared" si="4"/>
        <v>546515612.19000006</v>
      </c>
      <c r="F33" s="33"/>
      <c r="G33" s="33">
        <f>SUM('ДОУ БУ'!G33+'ДОУ АУ'!G33)</f>
        <v>861494972.13999999</v>
      </c>
      <c r="H33" s="33">
        <f>SUM('ДОУ БУ'!H33+'ДОУ АУ'!H33)</f>
        <v>281121612.19</v>
      </c>
      <c r="I33" s="33">
        <f>SUM('ДОУ БУ'!I33+'ДОУ АУ'!I33)</f>
        <v>0</v>
      </c>
      <c r="J33" s="33">
        <f>SUM('ДОУ БУ'!J33+'ДОУ АУ'!J33)</f>
        <v>0</v>
      </c>
      <c r="K33" s="33">
        <f>SUM('ДОУ БУ'!K33+'ДОУ АУ'!K33)</f>
        <v>913793576</v>
      </c>
      <c r="L33" s="33">
        <f>SUM('ДОУ БУ'!L33+'ДОУ АУ'!L33)</f>
        <v>264781500</v>
      </c>
      <c r="M33" s="33">
        <f>SUM('ДОУ БУ'!M33+'ДОУ АУ'!M33)</f>
        <v>1033000</v>
      </c>
      <c r="N33" s="33">
        <f>SUM('ДОУ БУ'!N33+'ДОУ АУ'!N33)</f>
        <v>612500</v>
      </c>
      <c r="O33" s="33">
        <f>SUM('ДОУ БУ'!O33+'ДОУ АУ'!O33)</f>
        <v>0</v>
      </c>
      <c r="P33" s="33">
        <f>SUM('ДОУ БУ'!P33+'ДОУ АУ'!P33)</f>
        <v>0</v>
      </c>
      <c r="Q33" s="33">
        <f>SUM('ДОУ БУ'!Q33+'ДОУ АУ'!Q33)</f>
        <v>0</v>
      </c>
      <c r="R33" s="33">
        <f>SUM('ДОУ БУ'!R33+'ДОУ АУ'!R33)</f>
        <v>0</v>
      </c>
      <c r="S33" s="33">
        <f>SUM('ДОУ БУ'!S33+'ДОУ АУ'!S33)</f>
        <v>0</v>
      </c>
      <c r="T33" s="33">
        <f>SUM('ДОУ БУ'!T33+'ДОУ АУ'!T33)</f>
        <v>0</v>
      </c>
    </row>
    <row r="34" spans="1:43" s="22" customFormat="1" ht="16.5" x14ac:dyDescent="0.25">
      <c r="A34" s="50" t="s">
        <v>21</v>
      </c>
      <c r="B34" s="28" t="s">
        <v>22</v>
      </c>
      <c r="C34" s="55"/>
      <c r="D34" s="33">
        <f t="shared" si="3"/>
        <v>49675669.5</v>
      </c>
      <c r="E34" s="33">
        <f t="shared" si="4"/>
        <v>24111353.809999999</v>
      </c>
      <c r="F34" s="33"/>
      <c r="G34" s="33">
        <f>SUM('ДОУ БУ'!G34+'ДОУ АУ'!G34)</f>
        <v>49675669.5</v>
      </c>
      <c r="H34" s="33">
        <f>SUM('ДОУ БУ'!H34+'ДОУ АУ'!H34)</f>
        <v>24111353.809999999</v>
      </c>
      <c r="I34" s="33">
        <f>SUM('ДОУ БУ'!I34+'ДОУ АУ'!I34)</f>
        <v>0</v>
      </c>
      <c r="J34" s="33">
        <f>SUM('ДОУ БУ'!J34+'ДОУ АУ'!J34)</f>
        <v>0</v>
      </c>
      <c r="K34" s="33">
        <f>SUM('ДОУ БУ'!K34+'ДОУ АУ'!K34)</f>
        <v>0</v>
      </c>
      <c r="L34" s="33">
        <f>SUM('ДОУ БУ'!L34+'ДОУ АУ'!L34)</f>
        <v>0</v>
      </c>
      <c r="M34" s="33">
        <f>SUM('ДОУ БУ'!M34+'ДОУ АУ'!M34)</f>
        <v>0</v>
      </c>
      <c r="N34" s="33">
        <f>SUM('ДОУ БУ'!N34+'ДОУ АУ'!N34)</f>
        <v>0</v>
      </c>
      <c r="O34" s="33">
        <f>SUM('ДОУ БУ'!O34+'ДОУ АУ'!O34)</f>
        <v>0</v>
      </c>
      <c r="P34" s="33">
        <f>SUM('ДОУ БУ'!P34+'ДОУ АУ'!P34)</f>
        <v>0</v>
      </c>
      <c r="Q34" s="33">
        <f>SUM('ДОУ БУ'!Q34+'ДОУ АУ'!Q34)</f>
        <v>0</v>
      </c>
      <c r="R34" s="33">
        <f>SUM('ДОУ БУ'!R34+'ДОУ АУ'!R34)</f>
        <v>0</v>
      </c>
      <c r="S34" s="33">
        <f>SUM('ДОУ БУ'!S34+'ДОУ АУ'!S34)</f>
        <v>0</v>
      </c>
      <c r="T34" s="33">
        <f>SUM('ДОУ БУ'!T34+'ДОУ АУ'!T34)</f>
        <v>0</v>
      </c>
    </row>
    <row r="35" spans="1:43" s="22" customFormat="1" ht="16.5" hidden="1" x14ac:dyDescent="0.25">
      <c r="A35" s="52"/>
      <c r="B35" s="28"/>
      <c r="C35" s="55"/>
      <c r="D35" s="33">
        <f t="shared" si="3"/>
        <v>0</v>
      </c>
      <c r="E35" s="33">
        <f t="shared" si="4"/>
        <v>0</v>
      </c>
      <c r="F35" s="33"/>
      <c r="G35" s="33">
        <f>SUM('ДОУ БУ'!G35+'ДОУ АУ'!G35)</f>
        <v>0</v>
      </c>
      <c r="H35" s="33"/>
      <c r="I35" s="33">
        <f>SUM('ДОУ БУ'!I35+'ДОУ АУ'!I35)</f>
        <v>0</v>
      </c>
      <c r="J35" s="33"/>
      <c r="K35" s="33">
        <f>SUM('ДОУ БУ'!K35+'ДОУ АУ'!K35)</f>
        <v>0</v>
      </c>
      <c r="L35" s="33"/>
      <c r="M35" s="33">
        <f>SUM('ДОУ БУ'!M35+'ДОУ АУ'!M35)</f>
        <v>0</v>
      </c>
      <c r="N35" s="33"/>
      <c r="O35" s="33">
        <f>SUM('ДОУ БУ'!O35+'ДОУ АУ'!O35)</f>
        <v>0</v>
      </c>
      <c r="P35" s="33"/>
      <c r="Q35" s="33"/>
      <c r="R35" s="33"/>
      <c r="S35" s="33">
        <f>SUM('ДОУ БУ'!S35+'ДОУ АУ'!S35)</f>
        <v>0</v>
      </c>
      <c r="T35" s="33">
        <f>SUM('ДОУ БУ'!T35+'ДОУ АУ'!T35)</f>
        <v>0</v>
      </c>
    </row>
    <row r="36" spans="1:43" s="24" customFormat="1" ht="17.25" x14ac:dyDescent="0.25">
      <c r="A36" s="56" t="s">
        <v>25</v>
      </c>
      <c r="B36" s="48" t="s">
        <v>26</v>
      </c>
      <c r="C36" s="54"/>
      <c r="D36" s="25">
        <f t="shared" ref="D36" si="11">SUM(D37:D41)</f>
        <v>144096839.56999999</v>
      </c>
      <c r="E36" s="25">
        <f t="shared" ref="E36" si="12">SUM(E37:E41)</f>
        <v>43486408.200000003</v>
      </c>
      <c r="F36" s="25"/>
      <c r="G36" s="25">
        <f t="shared" ref="G36" si="13">SUM(G37:G41)</f>
        <v>144096839.56999999</v>
      </c>
      <c r="H36" s="25">
        <f t="shared" ref="H36" si="14">SUM(H37:H41)</f>
        <v>43486408.200000003</v>
      </c>
      <c r="I36" s="25">
        <f t="shared" ref="I36" si="15">SUM(I37:I41)</f>
        <v>0</v>
      </c>
      <c r="J36" s="25">
        <f t="shared" ref="J36" si="16">SUM(J37:J41)</f>
        <v>0</v>
      </c>
      <c r="K36" s="25">
        <f t="shared" ref="K36:T36" si="17">SUM(K37:K41)</f>
        <v>0</v>
      </c>
      <c r="L36" s="25">
        <f t="shared" si="17"/>
        <v>0</v>
      </c>
      <c r="M36" s="25">
        <f t="shared" si="17"/>
        <v>0</v>
      </c>
      <c r="N36" s="25">
        <f t="shared" si="17"/>
        <v>0</v>
      </c>
      <c r="O36" s="25">
        <f t="shared" si="17"/>
        <v>0</v>
      </c>
      <c r="P36" s="25">
        <f t="shared" si="17"/>
        <v>0</v>
      </c>
      <c r="Q36" s="25">
        <f t="shared" si="17"/>
        <v>0</v>
      </c>
      <c r="R36" s="25">
        <f t="shared" si="17"/>
        <v>0</v>
      </c>
      <c r="S36" s="25">
        <f t="shared" si="17"/>
        <v>0</v>
      </c>
      <c r="T36" s="25">
        <f t="shared" si="17"/>
        <v>0</v>
      </c>
    </row>
    <row r="37" spans="1:43" s="22" customFormat="1" ht="49.5" x14ac:dyDescent="0.25">
      <c r="A37" s="50" t="s">
        <v>27</v>
      </c>
      <c r="B37" s="28" t="s">
        <v>43</v>
      </c>
      <c r="C37" s="55"/>
      <c r="D37" s="33">
        <f t="shared" si="3"/>
        <v>141967618.56999999</v>
      </c>
      <c r="E37" s="33">
        <f t="shared" si="4"/>
        <v>43086429</v>
      </c>
      <c r="F37" s="33"/>
      <c r="G37" s="33">
        <f>SUM('ДОУ БУ'!G37+'ДОУ АУ'!G37)</f>
        <v>141967618.56999999</v>
      </c>
      <c r="H37" s="33">
        <f>SUM('ДОУ БУ'!H37+'ДОУ АУ'!H37)</f>
        <v>43086429</v>
      </c>
      <c r="I37" s="33">
        <f>SUM('ДОУ БУ'!I37+'ДОУ АУ'!I37)</f>
        <v>0</v>
      </c>
      <c r="J37" s="33">
        <f>SUM('ДОУ БУ'!J37+'ДОУ АУ'!J37)</f>
        <v>0</v>
      </c>
      <c r="K37" s="33">
        <f>SUM('ДОУ БУ'!K37+'ДОУ АУ'!K37)</f>
        <v>0</v>
      </c>
      <c r="L37" s="33">
        <f>SUM('ДОУ БУ'!L37+'ДОУ АУ'!L37)</f>
        <v>0</v>
      </c>
      <c r="M37" s="33">
        <f>SUM('ДОУ БУ'!M37+'ДОУ АУ'!M37)</f>
        <v>0</v>
      </c>
      <c r="N37" s="33">
        <f>SUM('ДОУ БУ'!N37+'ДОУ АУ'!N37)</f>
        <v>0</v>
      </c>
      <c r="O37" s="33">
        <f>SUM('ДОУ БУ'!O37+'ДОУ АУ'!O37)</f>
        <v>0</v>
      </c>
      <c r="P37" s="33">
        <f>SUM('ДОУ БУ'!P37+'ДОУ АУ'!P37)</f>
        <v>0</v>
      </c>
      <c r="Q37" s="33">
        <f>SUM('ДОУ БУ'!Q37+'ДОУ АУ'!Q37)</f>
        <v>0</v>
      </c>
      <c r="R37" s="33">
        <f>SUM('ДОУ БУ'!R37+'ДОУ АУ'!R37)</f>
        <v>0</v>
      </c>
      <c r="S37" s="33">
        <f>SUM('ДОУ БУ'!S37+'ДОУ АУ'!S37)</f>
        <v>0</v>
      </c>
      <c r="T37" s="33">
        <f>SUM('ДОУ БУ'!T37+'ДОУ АУ'!T37)</f>
        <v>0</v>
      </c>
    </row>
    <row r="38" spans="1:43" s="22" customFormat="1" ht="33" x14ac:dyDescent="0.25">
      <c r="A38" s="50" t="s">
        <v>29</v>
      </c>
      <c r="B38" s="28" t="s">
        <v>44</v>
      </c>
      <c r="C38" s="55"/>
      <c r="D38" s="33">
        <f t="shared" si="3"/>
        <v>0</v>
      </c>
      <c r="E38" s="33">
        <f t="shared" si="4"/>
        <v>0</v>
      </c>
      <c r="F38" s="33"/>
      <c r="G38" s="33">
        <f>SUM('ДОУ БУ'!G38+'ДОУ АУ'!G38)</f>
        <v>0</v>
      </c>
      <c r="H38" s="33">
        <f>SUM('ДОУ БУ'!H38+'ДОУ АУ'!H38)</f>
        <v>0</v>
      </c>
      <c r="I38" s="33">
        <f>SUM('ДОУ БУ'!I38+'ДОУ АУ'!I38)</f>
        <v>0</v>
      </c>
      <c r="J38" s="33">
        <f>SUM('ДОУ БУ'!J38+'ДОУ АУ'!J38)</f>
        <v>0</v>
      </c>
      <c r="K38" s="33">
        <f>SUM('ДОУ БУ'!K38+'ДОУ АУ'!K38)</f>
        <v>0</v>
      </c>
      <c r="L38" s="33">
        <f>SUM('ДОУ БУ'!L38+'ДОУ АУ'!L38)</f>
        <v>0</v>
      </c>
      <c r="M38" s="33">
        <f>SUM('ДОУ БУ'!M38+'ДОУ АУ'!M38)</f>
        <v>0</v>
      </c>
      <c r="N38" s="33">
        <f>SUM('ДОУ БУ'!N38+'ДОУ АУ'!N38)</f>
        <v>0</v>
      </c>
      <c r="O38" s="33">
        <f>SUM('ДОУ БУ'!O38+'ДОУ АУ'!O38)</f>
        <v>0</v>
      </c>
      <c r="P38" s="33">
        <f>SUM('ДОУ БУ'!P38+'ДОУ АУ'!P38)</f>
        <v>0</v>
      </c>
      <c r="Q38" s="33">
        <f>SUM('ДОУ БУ'!Q38+'ДОУ АУ'!Q38)</f>
        <v>0</v>
      </c>
      <c r="R38" s="33">
        <f>SUM('ДОУ БУ'!R38+'ДОУ АУ'!R38)</f>
        <v>0</v>
      </c>
      <c r="S38" s="33">
        <f>SUM('ДОУ БУ'!S38+'ДОУ АУ'!S38)</f>
        <v>0</v>
      </c>
      <c r="T38" s="33">
        <f>SUM('ДОУ БУ'!T38+'ДОУ АУ'!T38)</f>
        <v>0</v>
      </c>
    </row>
    <row r="39" spans="1:43" s="22" customFormat="1" ht="36" customHeight="1" x14ac:dyDescent="0.25">
      <c r="A39" s="50" t="s">
        <v>31</v>
      </c>
      <c r="B39" s="28" t="s">
        <v>32</v>
      </c>
      <c r="C39" s="55"/>
      <c r="D39" s="33">
        <f t="shared" si="3"/>
        <v>2129221</v>
      </c>
      <c r="E39" s="33">
        <f t="shared" si="4"/>
        <v>399979.2</v>
      </c>
      <c r="F39" s="33"/>
      <c r="G39" s="33">
        <f>SUM('ДОУ БУ'!G39+'ДОУ АУ'!G39)</f>
        <v>2129221</v>
      </c>
      <c r="H39" s="33">
        <f>SUM('ДОУ БУ'!H39+'ДОУ АУ'!H39)</f>
        <v>399979.2</v>
      </c>
      <c r="I39" s="33">
        <f>SUM('ДОУ БУ'!I39+'ДОУ АУ'!I39)</f>
        <v>0</v>
      </c>
      <c r="J39" s="33">
        <f>SUM('ДОУ БУ'!J39+'ДОУ АУ'!J39)</f>
        <v>0</v>
      </c>
      <c r="K39" s="33">
        <f>SUM('ДОУ БУ'!K39+'ДОУ АУ'!K39)</f>
        <v>0</v>
      </c>
      <c r="L39" s="33">
        <f>SUM('ДОУ БУ'!L39+'ДОУ АУ'!L39)</f>
        <v>0</v>
      </c>
      <c r="M39" s="33">
        <f>SUM('ДОУ БУ'!M39+'ДОУ АУ'!M39)</f>
        <v>0</v>
      </c>
      <c r="N39" s="33">
        <f>SUM('ДОУ БУ'!N39+'ДОУ АУ'!N39)</f>
        <v>0</v>
      </c>
      <c r="O39" s="33">
        <f>SUM('ДОУ БУ'!O39+'ДОУ АУ'!O39)</f>
        <v>0</v>
      </c>
      <c r="P39" s="33">
        <f>SUM('ДОУ БУ'!P39+'ДОУ АУ'!P39)</f>
        <v>0</v>
      </c>
      <c r="Q39" s="33">
        <f>SUM('ДОУ БУ'!Q39+'ДОУ АУ'!Q39)</f>
        <v>0</v>
      </c>
      <c r="R39" s="33">
        <f>SUM('ДОУ БУ'!R39+'ДОУ АУ'!R39)</f>
        <v>0</v>
      </c>
      <c r="S39" s="33">
        <f>SUM('ДОУ БУ'!S39+'ДОУ АУ'!S39)</f>
        <v>0</v>
      </c>
      <c r="T39" s="33">
        <f>SUM('ДОУ БУ'!T39+'ДОУ АУ'!T39)</f>
        <v>0</v>
      </c>
    </row>
    <row r="40" spans="1:43" s="22" customFormat="1" ht="33" hidden="1" customHeight="1" x14ac:dyDescent="0.25">
      <c r="A40" s="50" t="s">
        <v>33</v>
      </c>
      <c r="B40" s="28" t="s">
        <v>34</v>
      </c>
      <c r="C40" s="55"/>
      <c r="D40" s="33">
        <f t="shared" si="3"/>
        <v>0</v>
      </c>
      <c r="E40" s="33">
        <f t="shared" si="4"/>
        <v>0</v>
      </c>
      <c r="F40" s="33"/>
      <c r="G40" s="33">
        <f>SUM('ДОУ БУ'!G40+'ДОУ АУ'!G40)</f>
        <v>0</v>
      </c>
      <c r="H40" s="33">
        <f>SUM('ДОУ БУ'!H40+'ДОУ АУ'!H40)</f>
        <v>0</v>
      </c>
      <c r="I40" s="33">
        <f>SUM('ДОУ БУ'!I40+'ДОУ АУ'!I40)</f>
        <v>0</v>
      </c>
      <c r="J40" s="33">
        <f>SUM('ДОУ БУ'!J40+'ДОУ АУ'!J40)</f>
        <v>0</v>
      </c>
      <c r="K40" s="33">
        <f>SUM('ДОУ БУ'!K40+'ДОУ АУ'!K40)</f>
        <v>0</v>
      </c>
      <c r="L40" s="33">
        <f>SUM('ДОУ БУ'!L40+'ДОУ АУ'!L40)</f>
        <v>0</v>
      </c>
      <c r="M40" s="33">
        <f>SUM('ДОУ БУ'!M40+'ДОУ АУ'!M40)</f>
        <v>0</v>
      </c>
      <c r="N40" s="33">
        <f>SUM('ДОУ БУ'!N40+'ДОУ АУ'!N40)</f>
        <v>0</v>
      </c>
      <c r="O40" s="33">
        <f>SUM('ДОУ БУ'!O40+'ДОУ АУ'!O40)</f>
        <v>0</v>
      </c>
      <c r="P40" s="33">
        <f>SUM('ДОУ БУ'!P40+'ДОУ АУ'!P40)</f>
        <v>0</v>
      </c>
      <c r="Q40" s="33">
        <f>SUM('ДОУ БУ'!Q40+'ДОУ АУ'!Q40)</f>
        <v>0</v>
      </c>
      <c r="R40" s="33">
        <f>SUM('ДОУ БУ'!R40+'ДОУ АУ'!R40)</f>
        <v>0</v>
      </c>
      <c r="S40" s="33">
        <f>SUM('ДОУ БУ'!S40+'ДОУ АУ'!S40)</f>
        <v>0</v>
      </c>
      <c r="T40" s="33">
        <f>SUM('ДОУ БУ'!T40+'ДОУ АУ'!T40)</f>
        <v>0</v>
      </c>
    </row>
    <row r="41" spans="1:43" s="22" customFormat="1" ht="33" hidden="1" customHeight="1" x14ac:dyDescent="0.25">
      <c r="A41" s="50" t="s">
        <v>35</v>
      </c>
      <c r="B41" s="28" t="s">
        <v>36</v>
      </c>
      <c r="C41" s="55"/>
      <c r="D41" s="33">
        <f t="shared" si="3"/>
        <v>0</v>
      </c>
      <c r="E41" s="33">
        <f t="shared" si="4"/>
        <v>0</v>
      </c>
      <c r="F41" s="33"/>
      <c r="G41" s="33">
        <f>SUM('ДОУ БУ'!G41+'ДОУ АУ'!G41)</f>
        <v>0</v>
      </c>
      <c r="H41" s="33">
        <f>SUM('ДОУ БУ'!H41+'ДОУ АУ'!H41)</f>
        <v>0</v>
      </c>
      <c r="I41" s="33">
        <f>SUM('ДОУ БУ'!I41+'ДОУ АУ'!I41)</f>
        <v>0</v>
      </c>
      <c r="J41" s="33">
        <f>SUM('ДОУ БУ'!J41+'ДОУ АУ'!J41)</f>
        <v>0</v>
      </c>
      <c r="K41" s="33">
        <f>SUM('ДОУ БУ'!K41+'ДОУ АУ'!K41)</f>
        <v>0</v>
      </c>
      <c r="L41" s="33">
        <f>SUM('ДОУ БУ'!L41+'ДОУ АУ'!L41)</f>
        <v>0</v>
      </c>
      <c r="M41" s="33">
        <f>SUM('ДОУ БУ'!M41+'ДОУ АУ'!M41)</f>
        <v>0</v>
      </c>
      <c r="N41" s="33">
        <f>SUM('ДОУ БУ'!N41+'ДОУ АУ'!N41)</f>
        <v>0</v>
      </c>
      <c r="O41" s="33">
        <f>SUM('ДОУ БУ'!O41+'ДОУ АУ'!O41)</f>
        <v>0</v>
      </c>
      <c r="P41" s="33">
        <f>SUM('ДОУ БУ'!P41+'ДОУ АУ'!P41)</f>
        <v>0</v>
      </c>
      <c r="Q41" s="33">
        <f>SUM('ДОУ БУ'!Q41+'ДОУ АУ'!Q41)</f>
        <v>0</v>
      </c>
      <c r="R41" s="33">
        <f>SUM('ДОУ БУ'!R41+'ДОУ АУ'!R41)</f>
        <v>0</v>
      </c>
      <c r="S41" s="33">
        <f>SUM('ДОУ БУ'!S41+'ДОУ АУ'!S41)</f>
        <v>0</v>
      </c>
      <c r="T41" s="33">
        <f>SUM('ДОУ БУ'!T41+'ДОУ АУ'!T41)</f>
        <v>0</v>
      </c>
    </row>
    <row r="42" spans="1:43" s="20" customFormat="1" ht="17.25" x14ac:dyDescent="0.25">
      <c r="A42" s="53">
        <v>3</v>
      </c>
      <c r="B42" s="48" t="s">
        <v>37</v>
      </c>
      <c r="C42" s="54"/>
      <c r="D42" s="33">
        <f t="shared" si="3"/>
        <v>0</v>
      </c>
      <c r="E42" s="33">
        <f t="shared" si="4"/>
        <v>0</v>
      </c>
      <c r="F42" s="33"/>
      <c r="G42" s="33">
        <f>SUM('ДОУ БУ'!G42+'ДОУ АУ'!G42)</f>
        <v>0</v>
      </c>
      <c r="H42" s="33">
        <f>SUM('ДОУ БУ'!H42+'ДОУ АУ'!H42)</f>
        <v>0</v>
      </c>
      <c r="I42" s="33">
        <f>SUM('ДОУ БУ'!I42+'ДОУ АУ'!I42)</f>
        <v>0</v>
      </c>
      <c r="J42" s="33">
        <f>SUM('ДОУ БУ'!J42+'ДОУ АУ'!J42)</f>
        <v>0</v>
      </c>
      <c r="K42" s="33">
        <f>SUM('ДОУ БУ'!K42+'ДОУ АУ'!K42)</f>
        <v>0</v>
      </c>
      <c r="L42" s="33">
        <f>SUM('ДОУ БУ'!L42+'ДОУ АУ'!L42)</f>
        <v>0</v>
      </c>
      <c r="M42" s="33">
        <f>SUM('ДОУ БУ'!M42+'ДОУ АУ'!M42)</f>
        <v>0</v>
      </c>
      <c r="N42" s="33">
        <f>SUM('ДОУ БУ'!N42+'ДОУ АУ'!N42)</f>
        <v>0</v>
      </c>
      <c r="O42" s="33">
        <f>SUM('ДОУ БУ'!O42+'ДОУ АУ'!O42)</f>
        <v>0</v>
      </c>
      <c r="P42" s="33">
        <f>SUM('ДОУ БУ'!P42+'ДОУ АУ'!P42)</f>
        <v>0</v>
      </c>
      <c r="Q42" s="33">
        <f>SUM('ДОУ БУ'!Q42+'ДОУ АУ'!Q42)</f>
        <v>0</v>
      </c>
      <c r="R42" s="33">
        <f>SUM('ДОУ БУ'!R42+'ДОУ АУ'!R42)</f>
        <v>0</v>
      </c>
      <c r="S42" s="33">
        <f>SUM('ДОУ БУ'!S42+'ДОУ АУ'!S42)</f>
        <v>0</v>
      </c>
      <c r="T42" s="33">
        <f>SUM('ДОУ БУ'!T42+'ДОУ АУ'!T42)</f>
        <v>0</v>
      </c>
    </row>
    <row r="43" spans="1:43" s="20" customFormat="1" ht="17.25" x14ac:dyDescent="0.25">
      <c r="A43" s="53">
        <v>4</v>
      </c>
      <c r="B43" s="48" t="s">
        <v>38</v>
      </c>
      <c r="C43" s="54"/>
      <c r="D43" s="33">
        <f t="shared" si="3"/>
        <v>38268000</v>
      </c>
      <c r="E43" s="33">
        <f t="shared" si="4"/>
        <v>20246695.82</v>
      </c>
      <c r="F43" s="33"/>
      <c r="G43" s="33">
        <f>SUM('ДОУ БУ'!G43+'ДОУ АУ'!G43)</f>
        <v>0</v>
      </c>
      <c r="H43" s="33">
        <f>SUM('ДОУ БУ'!H43+'ДОУ АУ'!H43)</f>
        <v>0</v>
      </c>
      <c r="I43" s="33">
        <f>SUM('ДОУ БУ'!I43+'ДОУ АУ'!I43)</f>
        <v>0</v>
      </c>
      <c r="J43" s="33">
        <f>SUM('ДОУ БУ'!J43+'ДОУ АУ'!J43)</f>
        <v>0</v>
      </c>
      <c r="K43" s="33">
        <f>SUM('ДОУ БУ'!K43+'ДОУ АУ'!K43)</f>
        <v>0</v>
      </c>
      <c r="L43" s="33">
        <f>SUM('ДОУ БУ'!L43+'ДОУ АУ'!L43)</f>
        <v>0</v>
      </c>
      <c r="M43" s="33">
        <f>SUM('ДОУ БУ'!M43+'ДОУ АУ'!M43)</f>
        <v>0</v>
      </c>
      <c r="N43" s="33">
        <f>SUM('ДОУ БУ'!N43+'ДОУ АУ'!N43)</f>
        <v>0</v>
      </c>
      <c r="O43" s="33">
        <f>SUM('ДОУ БУ'!O43+'ДОУ АУ'!O43)</f>
        <v>0</v>
      </c>
      <c r="P43" s="33">
        <f>SUM('ДОУ БУ'!P43+'ДОУ АУ'!P43)</f>
        <v>0</v>
      </c>
      <c r="Q43" s="33">
        <f>SUM('ДОУ БУ'!Q43+'ДОУ АУ'!Q43)</f>
        <v>0</v>
      </c>
      <c r="R43" s="33">
        <f>SUM('ДОУ БУ'!R43+'ДОУ АУ'!R43)</f>
        <v>0</v>
      </c>
      <c r="S43" s="33">
        <f>SUM('ДОУ БУ'!S43+'ДОУ АУ'!S43)</f>
        <v>38268000</v>
      </c>
      <c r="T43" s="33">
        <f>SUM('ДОУ БУ'!T43+'ДОУ АУ'!T43)</f>
        <v>20246695.82</v>
      </c>
    </row>
    <row r="44" spans="1:43" s="20" customFormat="1" ht="17.25" x14ac:dyDescent="0.25">
      <c r="A44" s="53">
        <v>5</v>
      </c>
      <c r="B44" s="48" t="s">
        <v>39</v>
      </c>
      <c r="C44" s="54"/>
      <c r="D44" s="33">
        <f t="shared" si="3"/>
        <v>5400000</v>
      </c>
      <c r="E44" s="33">
        <f t="shared" si="4"/>
        <v>1206462.51</v>
      </c>
      <c r="F44" s="33"/>
      <c r="G44" s="33">
        <f>SUM('ДОУ БУ'!G44+'ДОУ АУ'!G44)</f>
        <v>0</v>
      </c>
      <c r="H44" s="33">
        <f>SUM('ДОУ БУ'!H44+'ДОУ АУ'!H44)</f>
        <v>0</v>
      </c>
      <c r="I44" s="33">
        <f>SUM('ДОУ БУ'!I44+'ДОУ АУ'!I44)</f>
        <v>0</v>
      </c>
      <c r="J44" s="33">
        <f>SUM('ДОУ БУ'!J44+'ДОУ АУ'!J44)</f>
        <v>0</v>
      </c>
      <c r="K44" s="33">
        <f>SUM('ДОУ БУ'!K44+'ДОУ АУ'!K44)</f>
        <v>0</v>
      </c>
      <c r="L44" s="33">
        <f>SUM('ДОУ БУ'!L44+'ДОУ АУ'!L44)</f>
        <v>0</v>
      </c>
      <c r="M44" s="33">
        <f>SUM('ДОУ БУ'!M44+'ДОУ АУ'!M44)</f>
        <v>0</v>
      </c>
      <c r="N44" s="33">
        <f>SUM('ДОУ БУ'!N44+'ДОУ АУ'!N44)</f>
        <v>0</v>
      </c>
      <c r="O44" s="33">
        <f>SUM('ДОУ БУ'!O44+'ДОУ АУ'!O44)</f>
        <v>0</v>
      </c>
      <c r="P44" s="33">
        <f>SUM('ДОУ БУ'!P44+'ДОУ АУ'!P44)</f>
        <v>0</v>
      </c>
      <c r="Q44" s="33">
        <f>SUM('ДОУ БУ'!Q44+'ДОУ АУ'!Q44)</f>
        <v>0</v>
      </c>
      <c r="R44" s="33">
        <f>SUM('ДОУ БУ'!R44+'ДОУ АУ'!R44)</f>
        <v>0</v>
      </c>
      <c r="S44" s="33">
        <f>SUM('ДОУ БУ'!S44+'ДОУ АУ'!S44)</f>
        <v>5400000</v>
      </c>
      <c r="T44" s="33">
        <f>SUM('ДОУ БУ'!T44+'ДОУ АУ'!T44)</f>
        <v>1206462.51</v>
      </c>
    </row>
    <row r="45" spans="1:43" s="20" customFormat="1" ht="17.25" x14ac:dyDescent="0.25">
      <c r="A45" s="53">
        <v>6</v>
      </c>
      <c r="B45" s="48" t="s">
        <v>40</v>
      </c>
      <c r="C45" s="54"/>
      <c r="D45" s="33">
        <f t="shared" si="3"/>
        <v>467247751</v>
      </c>
      <c r="E45" s="33">
        <f t="shared" si="4"/>
        <v>174154425.87</v>
      </c>
      <c r="F45" s="33"/>
      <c r="G45" s="33">
        <f>SUM('ДОУ БУ'!G45+'ДОУ АУ'!G45)</f>
        <v>0</v>
      </c>
      <c r="H45" s="33">
        <f>SUM('ДОУ БУ'!H45+'ДОУ АУ'!H45)</f>
        <v>0</v>
      </c>
      <c r="I45" s="33">
        <f>SUM('ДОУ БУ'!I45+'ДОУ АУ'!I45)</f>
        <v>0</v>
      </c>
      <c r="J45" s="33">
        <f>SUM('ДОУ БУ'!J45+'ДОУ АУ'!J45)</f>
        <v>0</v>
      </c>
      <c r="K45" s="33">
        <f>SUM('ДОУ БУ'!K45+'ДОУ АУ'!K45)</f>
        <v>0</v>
      </c>
      <c r="L45" s="33">
        <f>SUM('ДОУ БУ'!L45+'ДОУ АУ'!L45)</f>
        <v>0</v>
      </c>
      <c r="M45" s="33">
        <f>SUM('ДОУ БУ'!M45+'ДОУ АУ'!M45)</f>
        <v>0</v>
      </c>
      <c r="N45" s="33">
        <f>SUM('ДОУ БУ'!N45+'ДОУ АУ'!N45)</f>
        <v>0</v>
      </c>
      <c r="O45" s="33">
        <f>SUM('ДОУ БУ'!O45+'ДОУ АУ'!O45)</f>
        <v>0</v>
      </c>
      <c r="P45" s="33">
        <f>SUM('ДОУ БУ'!P45+'ДОУ АУ'!P45)</f>
        <v>0</v>
      </c>
      <c r="Q45" s="33">
        <f>SUM('ДОУ БУ'!Q45+'ДОУ АУ'!Q45)</f>
        <v>0</v>
      </c>
      <c r="R45" s="33">
        <f>SUM('ДОУ БУ'!R45+'ДОУ АУ'!R45)</f>
        <v>0</v>
      </c>
      <c r="S45" s="33">
        <f>SUM('ДОУ БУ'!S45+'ДОУ АУ'!S45)</f>
        <v>467247751</v>
      </c>
      <c r="T45" s="33">
        <f>SUM('ДОУ БУ'!T45+'ДОУ АУ'!T45)</f>
        <v>174154425.87</v>
      </c>
    </row>
    <row r="46" spans="1:43" s="20" customFormat="1" ht="17.25" x14ac:dyDescent="0.25">
      <c r="A46" s="53">
        <v>7</v>
      </c>
      <c r="B46" s="48" t="s">
        <v>41</v>
      </c>
      <c r="C46" s="54"/>
      <c r="D46" s="33">
        <f t="shared" si="3"/>
        <v>52497496.420000002</v>
      </c>
      <c r="E46" s="33">
        <f t="shared" si="4"/>
        <v>14919509.66</v>
      </c>
      <c r="F46" s="33"/>
      <c r="G46" s="33">
        <f>SUM('ДОУ БУ'!G46+'ДОУ АУ'!G46)</f>
        <v>0</v>
      </c>
      <c r="H46" s="33">
        <f>SUM('ДОУ БУ'!H46+'ДОУ АУ'!H46)</f>
        <v>0</v>
      </c>
      <c r="I46" s="33">
        <f>SUM('ДОУ БУ'!I46+'ДОУ АУ'!I46)</f>
        <v>0</v>
      </c>
      <c r="J46" s="33">
        <f>SUM('ДОУ БУ'!J46+'ДОУ АУ'!J46)</f>
        <v>0</v>
      </c>
      <c r="K46" s="33">
        <f>SUM('ДОУ БУ'!K46+'ДОУ АУ'!K46)</f>
        <v>0</v>
      </c>
      <c r="L46" s="33">
        <f>SUM('ДОУ БУ'!L46+'ДОУ АУ'!L46)</f>
        <v>0</v>
      </c>
      <c r="M46" s="33">
        <f>SUM('ДОУ БУ'!M46+'ДОУ АУ'!M46)</f>
        <v>0</v>
      </c>
      <c r="N46" s="33">
        <f>SUM('ДОУ БУ'!N46+'ДОУ АУ'!N46)</f>
        <v>0</v>
      </c>
      <c r="O46" s="33">
        <f>SUM('ДОУ БУ'!O46+'ДОУ АУ'!O46)</f>
        <v>0</v>
      </c>
      <c r="P46" s="33">
        <f>SUM('ДОУ БУ'!P46+'ДОУ АУ'!P46)</f>
        <v>0</v>
      </c>
      <c r="Q46" s="33">
        <f>SUM('ДОУ БУ'!Q46+'ДОУ АУ'!Q46)</f>
        <v>0</v>
      </c>
      <c r="R46" s="33">
        <f>SUM('ДОУ БУ'!R46+'ДОУ АУ'!R46)</f>
        <v>0</v>
      </c>
      <c r="S46" s="33">
        <f>SUM('ДОУ БУ'!S46+'ДОУ АУ'!S46)</f>
        <v>52497496.420000002</v>
      </c>
      <c r="T46" s="33">
        <f>SUM('ДОУ БУ'!T46+'ДОУ АУ'!T46)</f>
        <v>14919509.66</v>
      </c>
    </row>
    <row r="47" spans="1:43" s="20" customFormat="1" ht="21" customHeight="1" x14ac:dyDescent="0.25">
      <c r="A47" s="163" t="s">
        <v>45</v>
      </c>
      <c r="B47" s="163"/>
      <c r="C47" s="57"/>
      <c r="D47" s="25">
        <f t="shared" ref="D47:J47" si="18">SUM(D48+D84+D186+D187+D206+D223+D241)</f>
        <v>2568274749.3899999</v>
      </c>
      <c r="E47" s="25">
        <f t="shared" si="18"/>
        <v>762310879.16000021</v>
      </c>
      <c r="F47" s="25"/>
      <c r="G47" s="25">
        <f t="shared" si="18"/>
        <v>1055267514.21</v>
      </c>
      <c r="H47" s="25">
        <f t="shared" si="18"/>
        <v>313541360.67000002</v>
      </c>
      <c r="I47" s="25">
        <f t="shared" si="18"/>
        <v>0</v>
      </c>
      <c r="J47" s="25">
        <f t="shared" si="18"/>
        <v>0</v>
      </c>
      <c r="K47" s="25">
        <f t="shared" ref="K47" si="19">SUM(K48+K84+K186+K187+K206+K223+K241)</f>
        <v>913793576</v>
      </c>
      <c r="L47" s="25">
        <f t="shared" ref="L47:T47" si="20">SUM(L48+L84+L186+L187+L206+L223+L241)</f>
        <v>263929799.60000002</v>
      </c>
      <c r="M47" s="25">
        <f t="shared" si="20"/>
        <v>1033000</v>
      </c>
      <c r="N47" s="25">
        <f t="shared" si="20"/>
        <v>611912.32000000007</v>
      </c>
      <c r="O47" s="25">
        <f t="shared" si="20"/>
        <v>0</v>
      </c>
      <c r="P47" s="25">
        <f t="shared" si="20"/>
        <v>0</v>
      </c>
      <c r="Q47" s="25">
        <f t="shared" si="20"/>
        <v>0</v>
      </c>
      <c r="R47" s="25">
        <f t="shared" si="20"/>
        <v>0</v>
      </c>
      <c r="S47" s="25">
        <f t="shared" si="20"/>
        <v>598180659.17999995</v>
      </c>
      <c r="T47" s="25">
        <f t="shared" si="20"/>
        <v>184227806.56999999</v>
      </c>
    </row>
    <row r="48" spans="1:43" s="20" customFormat="1" ht="34.5" x14ac:dyDescent="0.25">
      <c r="A48" s="53">
        <v>1</v>
      </c>
      <c r="B48" s="48" t="s">
        <v>18</v>
      </c>
      <c r="C48" s="54"/>
      <c r="D48" s="25">
        <f t="shared" ref="D48:J48" si="21">SUM(D49+D78+D82)</f>
        <v>1825997217.6399999</v>
      </c>
      <c r="E48" s="25">
        <f t="shared" si="21"/>
        <v>544257021.5200001</v>
      </c>
      <c r="F48" s="25"/>
      <c r="G48" s="25">
        <f t="shared" si="21"/>
        <v>911170641.63999999</v>
      </c>
      <c r="H48" s="25">
        <f t="shared" si="21"/>
        <v>279715309.60000002</v>
      </c>
      <c r="I48" s="25">
        <f t="shared" si="21"/>
        <v>0</v>
      </c>
      <c r="J48" s="25">
        <f t="shared" si="21"/>
        <v>0</v>
      </c>
      <c r="K48" s="25">
        <f>SUM(K49+K78+K82)</f>
        <v>913793576</v>
      </c>
      <c r="L48" s="25">
        <f t="shared" ref="L48:T48" si="22">SUM(L49+L78+L82)</f>
        <v>263929799.60000002</v>
      </c>
      <c r="M48" s="25">
        <f t="shared" si="22"/>
        <v>1033000</v>
      </c>
      <c r="N48" s="25">
        <f t="shared" si="22"/>
        <v>611912.32000000007</v>
      </c>
      <c r="O48" s="25">
        <f t="shared" si="22"/>
        <v>0</v>
      </c>
      <c r="P48" s="25">
        <f t="shared" si="22"/>
        <v>0</v>
      </c>
      <c r="Q48" s="25">
        <f t="shared" si="22"/>
        <v>0</v>
      </c>
      <c r="R48" s="25">
        <f t="shared" si="22"/>
        <v>0</v>
      </c>
      <c r="S48" s="25">
        <f t="shared" si="22"/>
        <v>0</v>
      </c>
      <c r="T48" s="25">
        <f t="shared" si="22"/>
        <v>0</v>
      </c>
      <c r="AQ48" s="20">
        <v>173284000</v>
      </c>
    </row>
    <row r="49" spans="1:20" s="20" customFormat="1" ht="34.5" x14ac:dyDescent="0.25">
      <c r="A49" s="53" t="s">
        <v>19</v>
      </c>
      <c r="B49" s="48" t="s">
        <v>20</v>
      </c>
      <c r="C49" s="54"/>
      <c r="D49" s="34">
        <f t="shared" ref="D49:E49" si="23">SUM(G49+I49+K49+M49+O49+Q49+S49)</f>
        <v>1776321548.1399999</v>
      </c>
      <c r="E49" s="34">
        <f t="shared" si="23"/>
        <v>544257021.5200001</v>
      </c>
      <c r="F49" s="34"/>
      <c r="G49" s="25">
        <f>SUM(G50+G51+G52+G53+G54+G55+G59+G60+G61+G64+G65+G68)+G72+G75</f>
        <v>861494972.13999999</v>
      </c>
      <c r="H49" s="25">
        <f t="shared" ref="H49:L49" si="24">SUM(H50+H51+H52+H53+H54+H55+H59+H60+H61+H64+H65+H68)+H72+H75</f>
        <v>279715309.60000002</v>
      </c>
      <c r="I49" s="25">
        <f t="shared" si="24"/>
        <v>0</v>
      </c>
      <c r="J49" s="25">
        <f t="shared" si="24"/>
        <v>0</v>
      </c>
      <c r="K49" s="25">
        <f t="shared" si="24"/>
        <v>913793576</v>
      </c>
      <c r="L49" s="25">
        <f t="shared" si="24"/>
        <v>263929799.60000002</v>
      </c>
      <c r="M49" s="25">
        <f t="shared" ref="M49:S49" si="25">SUM(M50+M51+M52+M53+M54+M55+M59+M60+M61+M64+M65+M68)+M72</f>
        <v>1033000</v>
      </c>
      <c r="N49" s="25">
        <f t="shared" si="25"/>
        <v>611912.32000000007</v>
      </c>
      <c r="O49" s="25">
        <f t="shared" si="25"/>
        <v>0</v>
      </c>
      <c r="P49" s="25">
        <f t="shared" si="25"/>
        <v>0</v>
      </c>
      <c r="Q49" s="25">
        <f t="shared" si="25"/>
        <v>0</v>
      </c>
      <c r="R49" s="25">
        <f t="shared" si="25"/>
        <v>0</v>
      </c>
      <c r="S49" s="25">
        <f t="shared" si="25"/>
        <v>0</v>
      </c>
      <c r="T49" s="25">
        <f t="shared" ref="T49" si="26">SUM(T50+T51+T52+T53+T54+T55+T59+T60+T61+T64+T65+T68)+T72</f>
        <v>0</v>
      </c>
    </row>
    <row r="50" spans="1:20" s="22" customFormat="1" ht="16.5" x14ac:dyDescent="0.25">
      <c r="A50" s="50" t="s">
        <v>46</v>
      </c>
      <c r="B50" s="28" t="s">
        <v>47</v>
      </c>
      <c r="C50" s="55">
        <v>211</v>
      </c>
      <c r="D50" s="33">
        <f t="shared" si="3"/>
        <v>1191655996</v>
      </c>
      <c r="E50" s="33">
        <f t="shared" si="4"/>
        <v>347838919.40999997</v>
      </c>
      <c r="F50" s="33"/>
      <c r="G50" s="33">
        <f>SUM('ДОУ БУ'!G50+'ДОУ АУ'!G50)</f>
        <v>491887330</v>
      </c>
      <c r="H50" s="33">
        <f>SUM('ДОУ БУ'!H50+'ДОУ АУ'!H50)</f>
        <v>148741289.84</v>
      </c>
      <c r="I50" s="33">
        <f>SUM('ДОУ БУ'!I50+'ДОУ АУ'!I50)</f>
        <v>0</v>
      </c>
      <c r="J50" s="33">
        <f>SUM('ДОУ БУ'!J50+'ДОУ АУ'!J50)</f>
        <v>0</v>
      </c>
      <c r="K50" s="33">
        <f>SUM('ДОУ БУ'!K50+'ДОУ АУ'!K50)</f>
        <v>699768666</v>
      </c>
      <c r="L50" s="33">
        <f>SUM('ДОУ БУ'!L50+'ДОУ АУ'!L50)</f>
        <v>199097629.56999999</v>
      </c>
      <c r="M50" s="33">
        <f>SUM('ДОУ БУ'!M50+'ДОУ АУ'!M50)</f>
        <v>0</v>
      </c>
      <c r="N50" s="33">
        <f>SUM('ДОУ БУ'!N50+'ДОУ АУ'!N50)</f>
        <v>0</v>
      </c>
      <c r="O50" s="33">
        <f>SUM('ДОУ БУ'!O50+'ДОУ АУ'!O50)</f>
        <v>0</v>
      </c>
      <c r="P50" s="33">
        <f>SUM('ДОУ БУ'!P50+'ДОУ АУ'!P50)</f>
        <v>0</v>
      </c>
      <c r="Q50" s="33">
        <f>SUM('ДОУ БУ'!Q50+'ДОУ АУ'!Q50)</f>
        <v>0</v>
      </c>
      <c r="R50" s="33">
        <f>SUM('ДОУ БУ'!R50+'ДОУ АУ'!R50)</f>
        <v>0</v>
      </c>
      <c r="S50" s="33">
        <f>SUM('ДОУ БУ'!S50+'ДОУ АУ'!S50)</f>
        <v>0</v>
      </c>
      <c r="T50" s="33">
        <f>SUM('ДОУ БУ'!T50+'ДОУ АУ'!T50)</f>
        <v>0</v>
      </c>
    </row>
    <row r="51" spans="1:20" s="22" customFormat="1" ht="16.5" x14ac:dyDescent="0.25">
      <c r="A51" s="50" t="s">
        <v>48</v>
      </c>
      <c r="B51" s="28" t="s">
        <v>49</v>
      </c>
      <c r="C51" s="55">
        <v>212</v>
      </c>
      <c r="D51" s="33">
        <f t="shared" si="3"/>
        <v>1237480</v>
      </c>
      <c r="E51" s="33">
        <f t="shared" si="4"/>
        <v>688873.26</v>
      </c>
      <c r="F51" s="33"/>
      <c r="G51" s="33">
        <f>SUM('ДОУ БУ'!G51+'ДОУ АУ'!G51)</f>
        <v>204480</v>
      </c>
      <c r="H51" s="33">
        <f>SUM('ДОУ БУ'!H51+'ДОУ АУ'!H51)</f>
        <v>76960.94</v>
      </c>
      <c r="I51" s="33">
        <f>SUM('ДОУ БУ'!I51+'ДОУ АУ'!I51)</f>
        <v>0</v>
      </c>
      <c r="J51" s="33">
        <f>SUM('ДОУ БУ'!J51+'ДОУ АУ'!J51)</f>
        <v>0</v>
      </c>
      <c r="K51" s="33">
        <f>SUM('ДОУ БУ'!K51+'ДОУ АУ'!K51)</f>
        <v>0</v>
      </c>
      <c r="L51" s="33">
        <f>SUM('ДОУ БУ'!L51+'ДОУ АУ'!L51)</f>
        <v>0</v>
      </c>
      <c r="M51" s="33">
        <f>SUM('ДОУ БУ'!M51+'ДОУ АУ'!M51)</f>
        <v>1033000</v>
      </c>
      <c r="N51" s="33">
        <f>SUM('ДОУ БУ'!N51+'ДОУ АУ'!N51)</f>
        <v>611912.32000000007</v>
      </c>
      <c r="O51" s="33">
        <f>SUM('ДОУ БУ'!O51+'ДОУ АУ'!O51)</f>
        <v>0</v>
      </c>
      <c r="P51" s="33">
        <f>SUM('ДОУ БУ'!P51+'ДОУ АУ'!P51)</f>
        <v>0</v>
      </c>
      <c r="Q51" s="33">
        <f>SUM('ДОУ БУ'!Q51+'ДОУ АУ'!Q51)</f>
        <v>0</v>
      </c>
      <c r="R51" s="33">
        <f>SUM('ДОУ БУ'!R51+'ДОУ АУ'!R51)</f>
        <v>0</v>
      </c>
      <c r="S51" s="33">
        <f>SUM('ДОУ БУ'!S51+'ДОУ АУ'!S51)</f>
        <v>0</v>
      </c>
      <c r="T51" s="33">
        <f>SUM('ДОУ БУ'!T51+'ДОУ АУ'!T51)</f>
        <v>0</v>
      </c>
    </row>
    <row r="52" spans="1:20" s="22" customFormat="1" ht="16.5" x14ac:dyDescent="0.25">
      <c r="A52" s="50" t="s">
        <v>50</v>
      </c>
      <c r="B52" s="28" t="s">
        <v>51</v>
      </c>
      <c r="C52" s="55">
        <v>213</v>
      </c>
      <c r="D52" s="33">
        <f t="shared" si="3"/>
        <v>353435695</v>
      </c>
      <c r="E52" s="33">
        <f t="shared" si="4"/>
        <v>110585258.25999999</v>
      </c>
      <c r="F52" s="33"/>
      <c r="G52" s="33">
        <f>SUM('ДОУ БУ'!G52+'ДОУ АУ'!G52)</f>
        <v>145598647</v>
      </c>
      <c r="H52" s="33">
        <f>SUM('ДОУ БУ'!H52+'ДОУ АУ'!H52)</f>
        <v>48825263.329999998</v>
      </c>
      <c r="I52" s="33">
        <f>SUM('ДОУ БУ'!I52+'ДОУ АУ'!I52)</f>
        <v>0</v>
      </c>
      <c r="J52" s="33">
        <f>SUM('ДОУ БУ'!J52+'ДОУ АУ'!J52)</f>
        <v>0</v>
      </c>
      <c r="K52" s="33">
        <f>SUM('ДОУ БУ'!K52+'ДОУ АУ'!K52)</f>
        <v>207837048</v>
      </c>
      <c r="L52" s="33">
        <f>SUM('ДОУ БУ'!L52+'ДОУ АУ'!L52)</f>
        <v>61759994.93</v>
      </c>
      <c r="M52" s="33">
        <f>SUM('ДОУ БУ'!M52+'ДОУ АУ'!M52)</f>
        <v>0</v>
      </c>
      <c r="N52" s="33">
        <f>SUM('ДОУ БУ'!N52+'ДОУ АУ'!N52)</f>
        <v>0</v>
      </c>
      <c r="O52" s="33">
        <f>SUM('ДОУ БУ'!O52+'ДОУ АУ'!O52)</f>
        <v>0</v>
      </c>
      <c r="P52" s="33">
        <f>SUM('ДОУ БУ'!P52+'ДОУ АУ'!P52)</f>
        <v>0</v>
      </c>
      <c r="Q52" s="33">
        <f>SUM('ДОУ БУ'!Q52+'ДОУ АУ'!Q52)</f>
        <v>0</v>
      </c>
      <c r="R52" s="33">
        <f>SUM('ДОУ БУ'!R52+'ДОУ АУ'!R52)</f>
        <v>0</v>
      </c>
      <c r="S52" s="33">
        <f>SUM('ДОУ БУ'!S52+'ДОУ АУ'!S52)</f>
        <v>0</v>
      </c>
      <c r="T52" s="33">
        <f>SUM('ДОУ БУ'!T52+'ДОУ АУ'!T52)</f>
        <v>0</v>
      </c>
    </row>
    <row r="53" spans="1:20" s="22" customFormat="1" ht="16.5" x14ac:dyDescent="0.25">
      <c r="A53" s="52" t="s">
        <v>52</v>
      </c>
      <c r="B53" s="28" t="s">
        <v>53</v>
      </c>
      <c r="C53" s="55">
        <v>221</v>
      </c>
      <c r="D53" s="33">
        <f t="shared" si="3"/>
        <v>1859100</v>
      </c>
      <c r="E53" s="33">
        <f t="shared" si="4"/>
        <v>408679.64999999997</v>
      </c>
      <c r="F53" s="33"/>
      <c r="G53" s="33">
        <f>SUM('ДОУ БУ'!G53+'ДОУ АУ'!G53)</f>
        <v>1859100</v>
      </c>
      <c r="H53" s="33">
        <f>SUM('ДОУ БУ'!H53+'ДОУ АУ'!H53)</f>
        <v>408679.64999999997</v>
      </c>
      <c r="I53" s="33">
        <f>SUM('ДОУ БУ'!I53+'ДОУ АУ'!I53)</f>
        <v>0</v>
      </c>
      <c r="J53" s="33">
        <f>SUM('ДОУ БУ'!J53+'ДОУ АУ'!J53)</f>
        <v>0</v>
      </c>
      <c r="K53" s="33">
        <f>SUM('ДОУ БУ'!K53+'ДОУ АУ'!K53)</f>
        <v>0</v>
      </c>
      <c r="L53" s="33">
        <f>SUM('ДОУ БУ'!L53+'ДОУ АУ'!L53)</f>
        <v>0</v>
      </c>
      <c r="M53" s="33">
        <f>SUM('ДОУ БУ'!M53+'ДОУ АУ'!M53)</f>
        <v>0</v>
      </c>
      <c r="N53" s="33">
        <f>SUM('ДОУ БУ'!N53+'ДОУ АУ'!N53)</f>
        <v>0</v>
      </c>
      <c r="O53" s="33">
        <f>SUM('ДОУ БУ'!O53+'ДОУ АУ'!O53)</f>
        <v>0</v>
      </c>
      <c r="P53" s="33">
        <f>SUM('ДОУ БУ'!P53+'ДОУ АУ'!P53)</f>
        <v>0</v>
      </c>
      <c r="Q53" s="33">
        <f>SUM('ДОУ БУ'!Q53+'ДОУ АУ'!Q53)</f>
        <v>0</v>
      </c>
      <c r="R53" s="33">
        <f>SUM('ДОУ БУ'!R53+'ДОУ АУ'!R53)</f>
        <v>0</v>
      </c>
      <c r="S53" s="33">
        <f>SUM('ДОУ БУ'!S53+'ДОУ АУ'!S53)</f>
        <v>0</v>
      </c>
      <c r="T53" s="33">
        <f>SUM('ДОУ БУ'!T53+'ДОУ АУ'!T53)</f>
        <v>0</v>
      </c>
    </row>
    <row r="54" spans="1:20" s="22" customFormat="1" ht="16.5" x14ac:dyDescent="0.25">
      <c r="A54" s="50" t="s">
        <v>54</v>
      </c>
      <c r="B54" s="28" t="s">
        <v>55</v>
      </c>
      <c r="C54" s="55">
        <v>222</v>
      </c>
      <c r="D54" s="33">
        <f t="shared" si="3"/>
        <v>0</v>
      </c>
      <c r="E54" s="33">
        <f t="shared" si="4"/>
        <v>0</v>
      </c>
      <c r="F54" s="33"/>
      <c r="G54" s="33">
        <f>SUM('ДОУ БУ'!G54+'ДОУ АУ'!G54)</f>
        <v>0</v>
      </c>
      <c r="H54" s="33">
        <f>SUM('ДОУ БУ'!H54+'ДОУ АУ'!H54)</f>
        <v>0</v>
      </c>
      <c r="I54" s="33">
        <f>SUM('ДОУ БУ'!I54+'ДОУ АУ'!I54)</f>
        <v>0</v>
      </c>
      <c r="J54" s="33">
        <f>SUM('ДОУ БУ'!J54+'ДОУ АУ'!J54)</f>
        <v>0</v>
      </c>
      <c r="K54" s="33">
        <f>SUM('ДОУ БУ'!K54+'ДОУ АУ'!K54)</f>
        <v>0</v>
      </c>
      <c r="L54" s="33">
        <f>SUM('ДОУ БУ'!L54+'ДОУ АУ'!L54)</f>
        <v>0</v>
      </c>
      <c r="M54" s="33">
        <f>SUM('ДОУ БУ'!M54+'ДОУ АУ'!M54)</f>
        <v>0</v>
      </c>
      <c r="N54" s="33">
        <f>SUM('ДОУ БУ'!N54+'ДОУ АУ'!N54)</f>
        <v>0</v>
      </c>
      <c r="O54" s="33">
        <f>SUM('ДОУ БУ'!O54+'ДОУ АУ'!O54)</f>
        <v>0</v>
      </c>
      <c r="P54" s="33">
        <f>SUM('ДОУ БУ'!P54+'ДОУ АУ'!P54)</f>
        <v>0</v>
      </c>
      <c r="Q54" s="33">
        <f>SUM('ДОУ БУ'!Q54+'ДОУ АУ'!Q54)</f>
        <v>0</v>
      </c>
      <c r="R54" s="33">
        <f>SUM('ДОУ БУ'!R54+'ДОУ АУ'!R54)</f>
        <v>0</v>
      </c>
      <c r="S54" s="33">
        <f>SUM('ДОУ БУ'!S54+'ДОУ АУ'!S54)</f>
        <v>0</v>
      </c>
      <c r="T54" s="33">
        <f>SUM('ДОУ БУ'!T54+'ДОУ АУ'!T54)</f>
        <v>0</v>
      </c>
    </row>
    <row r="55" spans="1:20" s="22" customFormat="1" ht="16.5" x14ac:dyDescent="0.25">
      <c r="A55" s="50" t="s">
        <v>56</v>
      </c>
      <c r="B55" s="28" t="s">
        <v>57</v>
      </c>
      <c r="C55" s="55">
        <v>223</v>
      </c>
      <c r="D55" s="33">
        <f t="shared" si="3"/>
        <v>137850440.63999999</v>
      </c>
      <c r="E55" s="33">
        <f t="shared" si="4"/>
        <v>64163374.660000004</v>
      </c>
      <c r="F55" s="33"/>
      <c r="G55" s="33">
        <f>SUM('ДОУ БУ'!G55+'ДОУ АУ'!G55)</f>
        <v>137850440.63999999</v>
      </c>
      <c r="H55" s="33">
        <f>SUM('ДОУ БУ'!H55+'ДОУ АУ'!H55)</f>
        <v>64163374.660000004</v>
      </c>
      <c r="I55" s="33">
        <f>SUM('ДОУ БУ'!I55+'ДОУ АУ'!I55)</f>
        <v>0</v>
      </c>
      <c r="J55" s="33">
        <f>SUM('ДОУ БУ'!J55+'ДОУ АУ'!J55)</f>
        <v>0</v>
      </c>
      <c r="K55" s="33">
        <f>SUM('ДОУ БУ'!K55+'ДОУ АУ'!K55)</f>
        <v>0</v>
      </c>
      <c r="L55" s="33">
        <f>SUM('ДОУ БУ'!L55+'ДОУ АУ'!L55)</f>
        <v>0</v>
      </c>
      <c r="M55" s="33">
        <f>SUM('ДОУ БУ'!M55+'ДОУ АУ'!M55)</f>
        <v>0</v>
      </c>
      <c r="N55" s="33">
        <f>SUM('ДОУ БУ'!N55+'ДОУ АУ'!N55)</f>
        <v>0</v>
      </c>
      <c r="O55" s="33">
        <f>SUM('ДОУ БУ'!O55+'ДОУ АУ'!O55)</f>
        <v>0</v>
      </c>
      <c r="P55" s="33">
        <f>SUM('ДОУ БУ'!P55+'ДОУ АУ'!P55)</f>
        <v>0</v>
      </c>
      <c r="Q55" s="33">
        <f>SUM('ДОУ БУ'!Q55+'ДОУ АУ'!Q55)</f>
        <v>0</v>
      </c>
      <c r="R55" s="33">
        <f>SUM('ДОУ БУ'!R55+'ДОУ АУ'!R55)</f>
        <v>0</v>
      </c>
      <c r="S55" s="33">
        <f>SUM('ДОУ БУ'!S55+'ДОУ АУ'!S55)</f>
        <v>0</v>
      </c>
      <c r="T55" s="33">
        <f>SUM('ДОУ БУ'!T55+'ДОУ АУ'!T55)</f>
        <v>0</v>
      </c>
    </row>
    <row r="56" spans="1:20" s="22" customFormat="1" ht="16.5" x14ac:dyDescent="0.25">
      <c r="A56" s="50"/>
      <c r="B56" s="28" t="s">
        <v>58</v>
      </c>
      <c r="C56" s="55">
        <v>223</v>
      </c>
      <c r="D56" s="33">
        <f t="shared" si="3"/>
        <v>77834969</v>
      </c>
      <c r="E56" s="33">
        <f t="shared" si="4"/>
        <v>44202478.510000005</v>
      </c>
      <c r="F56" s="33"/>
      <c r="G56" s="33">
        <f>SUM('ДОУ БУ'!G56+'ДОУ АУ'!G56)</f>
        <v>77834969</v>
      </c>
      <c r="H56" s="33">
        <f>SUM('ДОУ БУ'!H56+'ДОУ АУ'!H56)</f>
        <v>44202478.510000005</v>
      </c>
      <c r="I56" s="33">
        <f>SUM('ДОУ БУ'!I56+'ДОУ АУ'!I56)</f>
        <v>0</v>
      </c>
      <c r="J56" s="33">
        <f>SUM('ДОУ БУ'!J56+'ДОУ АУ'!J56)</f>
        <v>0</v>
      </c>
      <c r="K56" s="33">
        <f>SUM('ДОУ БУ'!K56+'ДОУ АУ'!K56)</f>
        <v>0</v>
      </c>
      <c r="L56" s="33">
        <f>SUM('ДОУ БУ'!L56+'ДОУ АУ'!L56)</f>
        <v>0</v>
      </c>
      <c r="M56" s="33">
        <f>SUM('ДОУ БУ'!M56+'ДОУ АУ'!M56)</f>
        <v>0</v>
      </c>
      <c r="N56" s="33">
        <f>SUM('ДОУ БУ'!N56+'ДОУ АУ'!N56)</f>
        <v>0</v>
      </c>
      <c r="O56" s="33">
        <f>SUM('ДОУ БУ'!O56+'ДОУ АУ'!O56)</f>
        <v>0</v>
      </c>
      <c r="P56" s="33">
        <f>SUM('ДОУ БУ'!P56+'ДОУ АУ'!P56)</f>
        <v>0</v>
      </c>
      <c r="Q56" s="33">
        <f>SUM('ДОУ БУ'!Q56+'ДОУ АУ'!Q56)</f>
        <v>0</v>
      </c>
      <c r="R56" s="33">
        <f>SUM('ДОУ БУ'!R56+'ДОУ АУ'!R56)</f>
        <v>0</v>
      </c>
      <c r="S56" s="33">
        <f>SUM('ДОУ БУ'!S56+'ДОУ АУ'!S56)</f>
        <v>0</v>
      </c>
      <c r="T56" s="33">
        <f>SUM('ДОУ БУ'!T56+'ДОУ АУ'!T56)</f>
        <v>0</v>
      </c>
    </row>
    <row r="57" spans="1:20" s="22" customFormat="1" ht="16.5" x14ac:dyDescent="0.25">
      <c r="A57" s="50"/>
      <c r="B57" s="28" t="s">
        <v>59</v>
      </c>
      <c r="C57" s="55">
        <v>223</v>
      </c>
      <c r="D57" s="33">
        <f t="shared" si="3"/>
        <v>39460253.640000001</v>
      </c>
      <c r="E57" s="33">
        <f t="shared" si="4"/>
        <v>13787025.77</v>
      </c>
      <c r="F57" s="33"/>
      <c r="G57" s="33">
        <f>SUM('ДОУ БУ'!G57+'ДОУ АУ'!G57)</f>
        <v>39460253.640000001</v>
      </c>
      <c r="H57" s="33">
        <f>SUM('ДОУ БУ'!H57+'ДОУ АУ'!H57)</f>
        <v>13787025.77</v>
      </c>
      <c r="I57" s="33">
        <f>SUM('ДОУ БУ'!I57+'ДОУ АУ'!I57)</f>
        <v>0</v>
      </c>
      <c r="J57" s="33">
        <f>SUM('ДОУ БУ'!J57+'ДОУ АУ'!J57)</f>
        <v>0</v>
      </c>
      <c r="K57" s="33">
        <f>SUM('ДОУ БУ'!K57+'ДОУ АУ'!K57)</f>
        <v>0</v>
      </c>
      <c r="L57" s="33">
        <f>SUM('ДОУ БУ'!L57+'ДОУ АУ'!L57)</f>
        <v>0</v>
      </c>
      <c r="M57" s="33">
        <f>SUM('ДОУ БУ'!M57+'ДОУ АУ'!M57)</f>
        <v>0</v>
      </c>
      <c r="N57" s="33">
        <f>SUM('ДОУ БУ'!N57+'ДОУ АУ'!N57)</f>
        <v>0</v>
      </c>
      <c r="O57" s="33">
        <f>SUM('ДОУ БУ'!O57+'ДОУ АУ'!O57)</f>
        <v>0</v>
      </c>
      <c r="P57" s="33">
        <f>SUM('ДОУ БУ'!P57+'ДОУ АУ'!P57)</f>
        <v>0</v>
      </c>
      <c r="Q57" s="33">
        <f>SUM('ДОУ БУ'!Q57+'ДОУ АУ'!Q57)</f>
        <v>0</v>
      </c>
      <c r="R57" s="33">
        <f>SUM('ДОУ БУ'!R57+'ДОУ АУ'!R57)</f>
        <v>0</v>
      </c>
      <c r="S57" s="33">
        <f>SUM('ДОУ БУ'!S57+'ДОУ АУ'!S57)</f>
        <v>0</v>
      </c>
      <c r="T57" s="33">
        <f>SUM('ДОУ БУ'!T57+'ДОУ АУ'!T57)</f>
        <v>0</v>
      </c>
    </row>
    <row r="58" spans="1:20" s="22" customFormat="1" ht="16.5" x14ac:dyDescent="0.25">
      <c r="A58" s="50"/>
      <c r="B58" s="28" t="s">
        <v>60</v>
      </c>
      <c r="C58" s="55">
        <v>223</v>
      </c>
      <c r="D58" s="33">
        <f t="shared" si="3"/>
        <v>20555218</v>
      </c>
      <c r="E58" s="33">
        <f t="shared" si="4"/>
        <v>6173870.3800000008</v>
      </c>
      <c r="F58" s="33"/>
      <c r="G58" s="33">
        <f>SUM('ДОУ БУ'!G58+'ДОУ АУ'!G58)</f>
        <v>20555218</v>
      </c>
      <c r="H58" s="33">
        <f>SUM('ДОУ БУ'!H58+'ДОУ АУ'!H58)</f>
        <v>6173870.3800000008</v>
      </c>
      <c r="I58" s="33">
        <f>SUM('ДОУ БУ'!I58+'ДОУ АУ'!I58)</f>
        <v>0</v>
      </c>
      <c r="J58" s="33">
        <f>SUM('ДОУ БУ'!J58+'ДОУ АУ'!J58)</f>
        <v>0</v>
      </c>
      <c r="K58" s="33">
        <f>SUM('ДОУ БУ'!K58+'ДОУ АУ'!K58)</f>
        <v>0</v>
      </c>
      <c r="L58" s="33">
        <f>SUM('ДОУ БУ'!L58+'ДОУ АУ'!L58)</f>
        <v>0</v>
      </c>
      <c r="M58" s="33">
        <f>SUM('ДОУ БУ'!M58+'ДОУ АУ'!M58)</f>
        <v>0</v>
      </c>
      <c r="N58" s="33">
        <f>SUM('ДОУ БУ'!N58+'ДОУ АУ'!N58)</f>
        <v>0</v>
      </c>
      <c r="O58" s="33">
        <f>SUM('ДОУ БУ'!O58+'ДОУ АУ'!O58)</f>
        <v>0</v>
      </c>
      <c r="P58" s="33">
        <f>SUM('ДОУ БУ'!P58+'ДОУ АУ'!P58)</f>
        <v>0</v>
      </c>
      <c r="Q58" s="33">
        <f>SUM('ДОУ БУ'!Q58+'ДОУ АУ'!Q58)</f>
        <v>0</v>
      </c>
      <c r="R58" s="33">
        <f>SUM('ДОУ БУ'!R58+'ДОУ АУ'!R58)</f>
        <v>0</v>
      </c>
      <c r="S58" s="33">
        <f>SUM('ДОУ БУ'!S58+'ДОУ АУ'!S58)</f>
        <v>0</v>
      </c>
      <c r="T58" s="33">
        <f>SUM('ДОУ БУ'!T58+'ДОУ АУ'!T58)</f>
        <v>0</v>
      </c>
    </row>
    <row r="59" spans="1:20" s="22" customFormat="1" ht="16.5" x14ac:dyDescent="0.25">
      <c r="A59" s="52" t="s">
        <v>61</v>
      </c>
      <c r="B59" s="28" t="s">
        <v>62</v>
      </c>
      <c r="C59" s="55">
        <v>224</v>
      </c>
      <c r="D59" s="33">
        <f t="shared" si="3"/>
        <v>0</v>
      </c>
      <c r="E59" s="33">
        <f t="shared" si="4"/>
        <v>0</v>
      </c>
      <c r="F59" s="33"/>
      <c r="G59" s="33">
        <f>SUM('ДОУ БУ'!G59+'ДОУ АУ'!G59)</f>
        <v>0</v>
      </c>
      <c r="H59" s="33">
        <f>SUM('ДОУ БУ'!H59+'ДОУ АУ'!H59)</f>
        <v>0</v>
      </c>
      <c r="I59" s="33">
        <f>SUM('ДОУ БУ'!I59+'ДОУ АУ'!I59)</f>
        <v>0</v>
      </c>
      <c r="J59" s="33">
        <f>SUM('ДОУ БУ'!J59+'ДОУ АУ'!J59)</f>
        <v>0</v>
      </c>
      <c r="K59" s="33">
        <f>SUM('ДОУ БУ'!K59+'ДОУ АУ'!K59)</f>
        <v>0</v>
      </c>
      <c r="L59" s="33">
        <f>SUM('ДОУ БУ'!L59+'ДОУ АУ'!L59)</f>
        <v>0</v>
      </c>
      <c r="M59" s="33">
        <f>SUM('ДОУ БУ'!M59+'ДОУ АУ'!M59)</f>
        <v>0</v>
      </c>
      <c r="N59" s="33">
        <f>SUM('ДОУ БУ'!N59+'ДОУ АУ'!N59)</f>
        <v>0</v>
      </c>
      <c r="O59" s="33">
        <f>SUM('ДОУ БУ'!O59+'ДОУ АУ'!O59)</f>
        <v>0</v>
      </c>
      <c r="P59" s="33">
        <f>SUM('ДОУ БУ'!P59+'ДОУ АУ'!P59)</f>
        <v>0</v>
      </c>
      <c r="Q59" s="33">
        <f>SUM('ДОУ БУ'!Q59+'ДОУ АУ'!Q59)</f>
        <v>0</v>
      </c>
      <c r="R59" s="33">
        <f>SUM('ДОУ БУ'!R59+'ДОУ АУ'!R59)</f>
        <v>0</v>
      </c>
      <c r="S59" s="33">
        <f>SUM('ДОУ БУ'!S59+'ДОУ АУ'!S59)</f>
        <v>0</v>
      </c>
      <c r="T59" s="33">
        <f>SUM('ДОУ БУ'!T59+'ДОУ АУ'!T59)</f>
        <v>0</v>
      </c>
    </row>
    <row r="60" spans="1:20" s="22" customFormat="1" ht="16.5" x14ac:dyDescent="0.25">
      <c r="A60" s="52" t="s">
        <v>63</v>
      </c>
      <c r="B60" s="28" t="s">
        <v>64</v>
      </c>
      <c r="C60" s="55">
        <v>225</v>
      </c>
      <c r="D60" s="33">
        <f t="shared" si="3"/>
        <v>28230986</v>
      </c>
      <c r="E60" s="33">
        <f t="shared" si="4"/>
        <v>4426720.75</v>
      </c>
      <c r="F60" s="33"/>
      <c r="G60" s="33">
        <f>SUM('ДОУ БУ'!G60+'ДОУ АУ'!G60)</f>
        <v>28230986</v>
      </c>
      <c r="H60" s="33">
        <f>SUM('ДОУ БУ'!H60+'ДОУ АУ'!H60)</f>
        <v>4426720.75</v>
      </c>
      <c r="I60" s="33">
        <f>SUM('ДОУ БУ'!I60+'ДОУ АУ'!I60)</f>
        <v>0</v>
      </c>
      <c r="J60" s="33">
        <f>SUM('ДОУ БУ'!J60+'ДОУ АУ'!J60)</f>
        <v>0</v>
      </c>
      <c r="K60" s="33">
        <f>SUM('ДОУ БУ'!K60+'ДОУ АУ'!K60)</f>
        <v>0</v>
      </c>
      <c r="L60" s="33">
        <f>SUM('ДОУ БУ'!L60+'ДОУ АУ'!L60)</f>
        <v>0</v>
      </c>
      <c r="M60" s="33">
        <f>SUM('ДОУ БУ'!M60+'ДОУ АУ'!M60)</f>
        <v>0</v>
      </c>
      <c r="N60" s="33">
        <f>SUM('ДОУ БУ'!N60+'ДОУ АУ'!N60)</f>
        <v>0</v>
      </c>
      <c r="O60" s="33">
        <f>SUM('ДОУ БУ'!O60+'ДОУ АУ'!O60)</f>
        <v>0</v>
      </c>
      <c r="P60" s="33">
        <f>SUM('ДОУ БУ'!P60+'ДОУ АУ'!P60)</f>
        <v>0</v>
      </c>
      <c r="Q60" s="33">
        <f>SUM('ДОУ БУ'!Q60+'ДОУ АУ'!Q60)</f>
        <v>0</v>
      </c>
      <c r="R60" s="33">
        <f>SUM('ДОУ БУ'!R60+'ДОУ АУ'!R60)</f>
        <v>0</v>
      </c>
      <c r="S60" s="33">
        <f>SUM('ДОУ БУ'!S60+'ДОУ АУ'!S60)</f>
        <v>0</v>
      </c>
      <c r="T60" s="33">
        <f>SUM('ДОУ БУ'!T60+'ДОУ АУ'!T60)</f>
        <v>0</v>
      </c>
    </row>
    <row r="61" spans="1:20" s="22" customFormat="1" ht="16.5" x14ac:dyDescent="0.25">
      <c r="A61" s="52" t="s">
        <v>65</v>
      </c>
      <c r="B61" s="28" t="s">
        <v>66</v>
      </c>
      <c r="C61" s="55">
        <v>226</v>
      </c>
      <c r="D61" s="33">
        <f t="shared" si="3"/>
        <v>24064305</v>
      </c>
      <c r="E61" s="33">
        <f t="shared" si="4"/>
        <v>6502927.6099999994</v>
      </c>
      <c r="F61" s="33"/>
      <c r="G61" s="33">
        <f>SUM('ДОУ БУ'!G61+'ДОУ АУ'!G61)</f>
        <v>24064305</v>
      </c>
      <c r="H61" s="33">
        <f>SUM('ДОУ БУ'!H61+'ДОУ АУ'!H61)</f>
        <v>6502927.6099999994</v>
      </c>
      <c r="I61" s="33">
        <f>SUM('ДОУ БУ'!I61+'ДОУ АУ'!I61)</f>
        <v>0</v>
      </c>
      <c r="J61" s="33">
        <f>SUM('ДОУ БУ'!J61+'ДОУ АУ'!J61)</f>
        <v>0</v>
      </c>
      <c r="K61" s="33">
        <f>SUM('ДОУ БУ'!K61+'ДОУ АУ'!K61)</f>
        <v>0</v>
      </c>
      <c r="L61" s="33">
        <f>SUM('ДОУ БУ'!L61+'ДОУ АУ'!L61)</f>
        <v>0</v>
      </c>
      <c r="M61" s="33">
        <f>SUM('ДОУ БУ'!M61+'ДОУ АУ'!M61)</f>
        <v>0</v>
      </c>
      <c r="N61" s="33">
        <f>SUM('ДОУ БУ'!N61+'ДОУ АУ'!N61)</f>
        <v>0</v>
      </c>
      <c r="O61" s="33">
        <f>SUM('ДОУ БУ'!O61+'ДОУ АУ'!O61)</f>
        <v>0</v>
      </c>
      <c r="P61" s="33">
        <f>SUM('ДОУ БУ'!P61+'ДОУ АУ'!P61)</f>
        <v>0</v>
      </c>
      <c r="Q61" s="33">
        <f>SUM('ДОУ БУ'!Q61+'ДОУ АУ'!Q61)</f>
        <v>0</v>
      </c>
      <c r="R61" s="33">
        <f>SUM('ДОУ БУ'!R61+'ДОУ АУ'!R61)</f>
        <v>0</v>
      </c>
      <c r="S61" s="33">
        <f>SUM('ДОУ БУ'!S61+'ДОУ АУ'!S61)</f>
        <v>0</v>
      </c>
      <c r="T61" s="33">
        <f>SUM('ДОУ БУ'!T61+'ДОУ АУ'!T61)</f>
        <v>0</v>
      </c>
    </row>
    <row r="62" spans="1:20" s="22" customFormat="1" ht="16.5" x14ac:dyDescent="0.25">
      <c r="A62" s="52"/>
      <c r="B62" s="28" t="s">
        <v>75</v>
      </c>
      <c r="C62" s="55">
        <v>226</v>
      </c>
      <c r="D62" s="33">
        <f t="shared" si="3"/>
        <v>0</v>
      </c>
      <c r="E62" s="33">
        <f t="shared" si="4"/>
        <v>0</v>
      </c>
      <c r="F62" s="33"/>
      <c r="G62" s="33">
        <f>SUM('ДОУ БУ'!G62+'ДОУ АУ'!G62)</f>
        <v>0</v>
      </c>
      <c r="H62" s="33">
        <f>SUM('ДОУ БУ'!H62+'ДОУ АУ'!H62)</f>
        <v>0</v>
      </c>
      <c r="I62" s="33">
        <f>SUM('ДОУ БУ'!I62+'ДОУ АУ'!I62)</f>
        <v>0</v>
      </c>
      <c r="J62" s="33">
        <f>SUM('ДОУ БУ'!J62+'ДОУ АУ'!J62)</f>
        <v>0</v>
      </c>
      <c r="K62" s="33">
        <f>SUM('ДОУ БУ'!K62+'ДОУ АУ'!K62)</f>
        <v>0</v>
      </c>
      <c r="L62" s="33">
        <f>SUM('ДОУ БУ'!L62+'ДОУ АУ'!L62)</f>
        <v>0</v>
      </c>
      <c r="M62" s="33">
        <f>SUM('ДОУ БУ'!M62+'ДОУ АУ'!M62)</f>
        <v>0</v>
      </c>
      <c r="N62" s="33">
        <f>SUM('ДОУ БУ'!N62+'ДОУ АУ'!N62)</f>
        <v>0</v>
      </c>
      <c r="O62" s="33">
        <f>SUM('ДОУ БУ'!O62+'ДОУ АУ'!O62)</f>
        <v>0</v>
      </c>
      <c r="P62" s="33">
        <f>SUM('ДОУ БУ'!P62+'ДОУ АУ'!P62)</f>
        <v>0</v>
      </c>
      <c r="Q62" s="33">
        <f>SUM('ДОУ БУ'!Q62+'ДОУ АУ'!Q62)</f>
        <v>0</v>
      </c>
      <c r="R62" s="33">
        <f>SUM('ДОУ БУ'!R62+'ДОУ АУ'!R62)</f>
        <v>0</v>
      </c>
      <c r="S62" s="33">
        <f>SUM('ДОУ БУ'!S62+'ДОУ АУ'!S62)</f>
        <v>0</v>
      </c>
      <c r="T62" s="33">
        <f>SUM('ДОУ БУ'!T62+'ДОУ АУ'!T62)</f>
        <v>0</v>
      </c>
    </row>
    <row r="63" spans="1:20" s="22" customFormat="1" ht="16.5" x14ac:dyDescent="0.25">
      <c r="A63" s="52"/>
      <c r="B63" s="28" t="s">
        <v>285</v>
      </c>
      <c r="C63" s="55">
        <v>226</v>
      </c>
      <c r="D63" s="33">
        <f t="shared" si="3"/>
        <v>24064305</v>
      </c>
      <c r="E63" s="33">
        <f t="shared" si="4"/>
        <v>6502927.6099999994</v>
      </c>
      <c r="F63" s="33"/>
      <c r="G63" s="33">
        <f>SUM('ДОУ БУ'!G63+'ДОУ АУ'!G63)</f>
        <v>24064305</v>
      </c>
      <c r="H63" s="33">
        <f>SUM('ДОУ БУ'!H63+'ДОУ АУ'!H63)</f>
        <v>6502927.6099999994</v>
      </c>
      <c r="I63" s="33">
        <f>SUM('ДОУ БУ'!I63+'ДОУ АУ'!I63)</f>
        <v>0</v>
      </c>
      <c r="J63" s="33">
        <f>SUM('ДОУ БУ'!J63+'ДОУ АУ'!J63)</f>
        <v>0</v>
      </c>
      <c r="K63" s="33">
        <f>SUM('ДОУ БУ'!K63+'ДОУ АУ'!K63)</f>
        <v>0</v>
      </c>
      <c r="L63" s="33">
        <f>SUM('ДОУ БУ'!L63+'ДОУ АУ'!L63)</f>
        <v>0</v>
      </c>
      <c r="M63" s="33">
        <f>SUM('ДОУ БУ'!M63+'ДОУ АУ'!M63)</f>
        <v>0</v>
      </c>
      <c r="N63" s="33">
        <f>SUM('ДОУ БУ'!N63+'ДОУ АУ'!N63)</f>
        <v>0</v>
      </c>
      <c r="O63" s="33">
        <f>SUM('ДОУ БУ'!O63+'ДОУ АУ'!O63)</f>
        <v>0</v>
      </c>
      <c r="P63" s="33">
        <f>SUM('ДОУ БУ'!P63+'ДОУ АУ'!P63)</f>
        <v>0</v>
      </c>
      <c r="Q63" s="33">
        <f>SUM('ДОУ БУ'!Q63+'ДОУ АУ'!Q63)</f>
        <v>0</v>
      </c>
      <c r="R63" s="33">
        <f>SUM('ДОУ БУ'!R63+'ДОУ АУ'!R63)</f>
        <v>0</v>
      </c>
      <c r="S63" s="33">
        <f>SUM('ДОУ БУ'!S63+'ДОУ АУ'!S63)</f>
        <v>0</v>
      </c>
      <c r="T63" s="33">
        <f>SUM('ДОУ БУ'!T63+'ДОУ АУ'!T63)</f>
        <v>0</v>
      </c>
    </row>
    <row r="64" spans="1:20" s="22" customFormat="1" ht="16.5" x14ac:dyDescent="0.25">
      <c r="A64" s="52" t="s">
        <v>67</v>
      </c>
      <c r="B64" s="28" t="s">
        <v>68</v>
      </c>
      <c r="C64" s="55">
        <v>290</v>
      </c>
      <c r="D64" s="33">
        <f t="shared" si="3"/>
        <v>0</v>
      </c>
      <c r="E64" s="33">
        <f t="shared" si="4"/>
        <v>0</v>
      </c>
      <c r="F64" s="33"/>
      <c r="G64" s="33">
        <f>SUM('ДОУ БУ'!G64+'ДОУ АУ'!G64)</f>
        <v>0</v>
      </c>
      <c r="H64" s="33">
        <f>SUM('ДОУ БУ'!H64+'ДОУ АУ'!H64)</f>
        <v>0</v>
      </c>
      <c r="I64" s="33">
        <f>SUM('ДОУ БУ'!I64+'ДОУ АУ'!I64)</f>
        <v>0</v>
      </c>
      <c r="J64" s="33">
        <f>SUM('ДОУ БУ'!J64+'ДОУ АУ'!J64)</f>
        <v>0</v>
      </c>
      <c r="K64" s="33">
        <f>SUM('ДОУ БУ'!K64+'ДОУ АУ'!K64)</f>
        <v>0</v>
      </c>
      <c r="L64" s="33">
        <f>SUM('ДОУ БУ'!L64+'ДОУ АУ'!L64)</f>
        <v>0</v>
      </c>
      <c r="M64" s="33">
        <f>SUM('ДОУ БУ'!M64+'ДОУ АУ'!M64)</f>
        <v>0</v>
      </c>
      <c r="N64" s="33">
        <f>SUM('ДОУ БУ'!N64+'ДОУ АУ'!N64)</f>
        <v>0</v>
      </c>
      <c r="O64" s="33">
        <f>SUM('ДОУ БУ'!O64+'ДОУ АУ'!O64)</f>
        <v>0</v>
      </c>
      <c r="P64" s="33">
        <f>SUM('ДОУ БУ'!P64+'ДОУ АУ'!P64)</f>
        <v>0</v>
      </c>
      <c r="Q64" s="33">
        <f>SUM('ДОУ БУ'!Q64+'ДОУ АУ'!Q64)</f>
        <v>0</v>
      </c>
      <c r="R64" s="33">
        <f>SUM('ДОУ БУ'!R64+'ДОУ АУ'!R64)</f>
        <v>0</v>
      </c>
      <c r="S64" s="33">
        <f>SUM('ДОУ БУ'!S64+'ДОУ АУ'!S64)</f>
        <v>0</v>
      </c>
      <c r="T64" s="33">
        <f>SUM('ДОУ БУ'!T64+'ДОУ АУ'!T64)</f>
        <v>0</v>
      </c>
    </row>
    <row r="65" spans="1:20" s="22" customFormat="1" ht="16.5" x14ac:dyDescent="0.25">
      <c r="A65" s="52" t="s">
        <v>69</v>
      </c>
      <c r="B65" s="28" t="s">
        <v>70</v>
      </c>
      <c r="C65" s="55">
        <v>310</v>
      </c>
      <c r="D65" s="33">
        <f t="shared" si="3"/>
        <v>2702137.5</v>
      </c>
      <c r="E65" s="33">
        <f t="shared" si="4"/>
        <v>1337318.8</v>
      </c>
      <c r="F65" s="33"/>
      <c r="G65" s="33">
        <f>SUM('ДОУ БУ'!G65+'ДОУ АУ'!G65)</f>
        <v>0</v>
      </c>
      <c r="H65" s="33">
        <f>SUM('ДОУ БУ'!H65+'ДОУ АУ'!H65)</f>
        <v>0</v>
      </c>
      <c r="I65" s="33">
        <f>SUM('ДОУ БУ'!I65+'ДОУ АУ'!I65)</f>
        <v>0</v>
      </c>
      <c r="J65" s="33">
        <f>SUM('ДОУ БУ'!J65+'ДОУ АУ'!J65)</f>
        <v>0</v>
      </c>
      <c r="K65" s="33">
        <f>SUM('ДОУ БУ'!K65+'ДОУ АУ'!K65)</f>
        <v>2702137.5</v>
      </c>
      <c r="L65" s="33">
        <f>SUM('ДОУ БУ'!L65+'ДОУ АУ'!L65)</f>
        <v>1337318.8</v>
      </c>
      <c r="M65" s="33">
        <f>SUM('ДОУ БУ'!M65+'ДОУ АУ'!M65)</f>
        <v>0</v>
      </c>
      <c r="N65" s="33">
        <f>SUM('ДОУ БУ'!N65+'ДОУ АУ'!N65)</f>
        <v>0</v>
      </c>
      <c r="O65" s="33">
        <f>SUM('ДОУ БУ'!O65+'ДОУ АУ'!O65)</f>
        <v>0</v>
      </c>
      <c r="P65" s="33">
        <f>SUM('ДОУ БУ'!P65+'ДОУ АУ'!P65)</f>
        <v>0</v>
      </c>
      <c r="Q65" s="33">
        <f>SUM('ДОУ БУ'!Q65+'ДОУ АУ'!Q65)</f>
        <v>0</v>
      </c>
      <c r="R65" s="33">
        <f>SUM('ДОУ БУ'!R65+'ДОУ АУ'!R65)</f>
        <v>0</v>
      </c>
      <c r="S65" s="33">
        <f>SUM('ДОУ БУ'!S65+'ДОУ АУ'!S65)</f>
        <v>0</v>
      </c>
      <c r="T65" s="33">
        <f>SUM('ДОУ БУ'!T65+'ДОУ АУ'!T65)</f>
        <v>0</v>
      </c>
    </row>
    <row r="66" spans="1:20" s="22" customFormat="1" ht="16.5" x14ac:dyDescent="0.25">
      <c r="A66" s="52"/>
      <c r="B66" s="28" t="s">
        <v>71</v>
      </c>
      <c r="C66" s="55">
        <v>310</v>
      </c>
      <c r="D66" s="33">
        <f t="shared" si="3"/>
        <v>0</v>
      </c>
      <c r="E66" s="33">
        <f t="shared" si="4"/>
        <v>0</v>
      </c>
      <c r="F66" s="33"/>
      <c r="G66" s="33">
        <f>SUM('ДОУ БУ'!G66+'ДОУ АУ'!G66)</f>
        <v>0</v>
      </c>
      <c r="H66" s="33">
        <f>SUM('ДОУ БУ'!H66+'ДОУ АУ'!H66)</f>
        <v>0</v>
      </c>
      <c r="I66" s="33">
        <f>SUM('ДОУ БУ'!I66+'ДОУ АУ'!I66)</f>
        <v>0</v>
      </c>
      <c r="J66" s="33">
        <f>SUM('ДОУ БУ'!J66+'ДОУ АУ'!J66)</f>
        <v>0</v>
      </c>
      <c r="K66" s="33">
        <f>SUM('ДОУ БУ'!K66+'ДОУ АУ'!K66)</f>
        <v>0</v>
      </c>
      <c r="L66" s="33">
        <f>SUM('ДОУ БУ'!L66+'ДОУ АУ'!L66)</f>
        <v>0</v>
      </c>
      <c r="M66" s="33">
        <f>SUM('ДОУ БУ'!M66+'ДОУ АУ'!M66)</f>
        <v>0</v>
      </c>
      <c r="N66" s="33">
        <f>SUM('ДОУ БУ'!N66+'ДОУ АУ'!N66)</f>
        <v>0</v>
      </c>
      <c r="O66" s="33">
        <f>SUM('ДОУ БУ'!O66+'ДОУ АУ'!O66)</f>
        <v>0</v>
      </c>
      <c r="P66" s="33">
        <f>SUM('ДОУ БУ'!P66+'ДОУ АУ'!P66)</f>
        <v>0</v>
      </c>
      <c r="Q66" s="33">
        <f>SUM('ДОУ БУ'!Q66+'ДОУ АУ'!Q66)</f>
        <v>0</v>
      </c>
      <c r="R66" s="33">
        <f>SUM('ДОУ БУ'!R66+'ДОУ АУ'!R66)</f>
        <v>0</v>
      </c>
      <c r="S66" s="33">
        <f>SUM('ДОУ БУ'!S66+'ДОУ АУ'!S66)</f>
        <v>0</v>
      </c>
      <c r="T66" s="33">
        <f>SUM('ДОУ БУ'!T66+'ДОУ АУ'!T66)</f>
        <v>0</v>
      </c>
    </row>
    <row r="67" spans="1:20" s="22" customFormat="1" ht="16.5" x14ac:dyDescent="0.25">
      <c r="A67" s="52"/>
      <c r="B67" s="28" t="s">
        <v>72</v>
      </c>
      <c r="C67" s="55">
        <v>310</v>
      </c>
      <c r="D67" s="33">
        <f t="shared" si="3"/>
        <v>2702137.5</v>
      </c>
      <c r="E67" s="33">
        <f t="shared" si="4"/>
        <v>1337318.8</v>
      </c>
      <c r="F67" s="33"/>
      <c r="G67" s="33">
        <f>SUM('ДОУ БУ'!G67+'ДОУ АУ'!G67)</f>
        <v>0</v>
      </c>
      <c r="H67" s="33">
        <f>SUM('ДОУ БУ'!H67+'ДОУ АУ'!H67)</f>
        <v>0</v>
      </c>
      <c r="I67" s="33">
        <f>SUM('ДОУ БУ'!I67+'ДОУ АУ'!I67)</f>
        <v>0</v>
      </c>
      <c r="J67" s="33">
        <f>SUM('ДОУ БУ'!J67+'ДОУ АУ'!J67)</f>
        <v>0</v>
      </c>
      <c r="K67" s="33">
        <f>SUM('ДОУ БУ'!K67+'ДОУ АУ'!K67)</f>
        <v>2702137.5</v>
      </c>
      <c r="L67" s="33">
        <f>SUM('ДОУ БУ'!L67+'ДОУ АУ'!L67)</f>
        <v>1337318.8</v>
      </c>
      <c r="M67" s="33">
        <f>SUM('ДОУ БУ'!M67+'ДОУ АУ'!M67)</f>
        <v>0</v>
      </c>
      <c r="N67" s="33">
        <f>SUM('ДОУ БУ'!N67+'ДОУ АУ'!N67)</f>
        <v>0</v>
      </c>
      <c r="O67" s="33">
        <f>SUM('ДОУ БУ'!O67+'ДОУ АУ'!O67)</f>
        <v>0</v>
      </c>
      <c r="P67" s="33">
        <f>SUM('ДОУ БУ'!P67+'ДОУ АУ'!P67)</f>
        <v>0</v>
      </c>
      <c r="Q67" s="33">
        <f>SUM('ДОУ БУ'!Q67+'ДОУ АУ'!Q67)</f>
        <v>0</v>
      </c>
      <c r="R67" s="33">
        <f>SUM('ДОУ БУ'!R67+'ДОУ АУ'!R67)</f>
        <v>0</v>
      </c>
      <c r="S67" s="33">
        <f>SUM('ДОУ БУ'!S67+'ДОУ АУ'!S67)</f>
        <v>0</v>
      </c>
      <c r="T67" s="33">
        <f>SUM('ДОУ БУ'!T67+'ДОУ АУ'!T67)</f>
        <v>0</v>
      </c>
    </row>
    <row r="68" spans="1:20" s="22" customFormat="1" ht="16.5" x14ac:dyDescent="0.25">
      <c r="A68" s="52" t="s">
        <v>73</v>
      </c>
      <c r="B68" s="28" t="s">
        <v>74</v>
      </c>
      <c r="C68" s="55">
        <v>340</v>
      </c>
      <c r="D68" s="33">
        <f t="shared" si="3"/>
        <v>3485724.5</v>
      </c>
      <c r="E68" s="33">
        <f t="shared" si="4"/>
        <v>1734856.3</v>
      </c>
      <c r="F68" s="33"/>
      <c r="G68" s="33">
        <f>SUM('ДОУ БУ'!G68+'ДОУ АУ'!G68)</f>
        <v>0</v>
      </c>
      <c r="H68" s="33">
        <f>SUM('ДОУ БУ'!H68+'ДОУ АУ'!H68)</f>
        <v>0</v>
      </c>
      <c r="I68" s="33">
        <f>SUM('ДОУ БУ'!I68+'ДОУ АУ'!I68)</f>
        <v>0</v>
      </c>
      <c r="J68" s="33">
        <f>SUM('ДОУ БУ'!J68+'ДОУ АУ'!J68)</f>
        <v>0</v>
      </c>
      <c r="K68" s="33">
        <f>SUM('ДОУ БУ'!K68+'ДОУ АУ'!K68)</f>
        <v>3485724.5</v>
      </c>
      <c r="L68" s="33">
        <f>SUM('ДОУ БУ'!L68+'ДОУ АУ'!L68)</f>
        <v>1734856.3</v>
      </c>
      <c r="M68" s="33">
        <f>SUM('ДОУ БУ'!M68+'ДОУ АУ'!M68)</f>
        <v>0</v>
      </c>
      <c r="N68" s="33">
        <f>SUM('ДОУ БУ'!N68+'ДОУ АУ'!N68)</f>
        <v>0</v>
      </c>
      <c r="O68" s="33">
        <f>SUM('ДОУ БУ'!O68+'ДОУ АУ'!O68)</f>
        <v>0</v>
      </c>
      <c r="P68" s="33">
        <f>SUM('ДОУ БУ'!P68+'ДОУ АУ'!P68)</f>
        <v>0</v>
      </c>
      <c r="Q68" s="33">
        <f>SUM('ДОУ БУ'!Q68+'ДОУ АУ'!Q68)</f>
        <v>0</v>
      </c>
      <c r="R68" s="33">
        <f>SUM('ДОУ БУ'!R68+'ДОУ АУ'!R68)</f>
        <v>0</v>
      </c>
      <c r="S68" s="33">
        <f>SUM('ДОУ БУ'!S68+'ДОУ АУ'!S68)</f>
        <v>0</v>
      </c>
      <c r="T68" s="33">
        <f>SUM('ДОУ БУ'!T68+'ДОУ АУ'!T68)</f>
        <v>0</v>
      </c>
    </row>
    <row r="69" spans="1:20" s="22" customFormat="1" ht="16.5" x14ac:dyDescent="0.25">
      <c r="A69" s="52"/>
      <c r="B69" s="28" t="s">
        <v>75</v>
      </c>
      <c r="C69" s="55">
        <v>340</v>
      </c>
      <c r="D69" s="33">
        <f t="shared" si="3"/>
        <v>0</v>
      </c>
      <c r="E69" s="33">
        <f t="shared" si="4"/>
        <v>0</v>
      </c>
      <c r="F69" s="33"/>
      <c r="G69" s="33">
        <f>SUM('ДОУ БУ'!G69+'ДОУ АУ'!G69)</f>
        <v>0</v>
      </c>
      <c r="H69" s="33">
        <f>SUM('ДОУ БУ'!H69+'ДОУ АУ'!H69)</f>
        <v>0</v>
      </c>
      <c r="I69" s="33">
        <f>SUM('ДОУ БУ'!I69+'ДОУ АУ'!I69)</f>
        <v>0</v>
      </c>
      <c r="J69" s="33">
        <f>SUM('ДОУ БУ'!J69+'ДОУ АУ'!J69)</f>
        <v>0</v>
      </c>
      <c r="K69" s="33">
        <f>SUM('ДОУ БУ'!K69+'ДОУ АУ'!K69)</f>
        <v>0</v>
      </c>
      <c r="L69" s="33">
        <f>SUM('ДОУ БУ'!L69+'ДОУ АУ'!L69)</f>
        <v>0</v>
      </c>
      <c r="M69" s="33">
        <f>SUM('ДОУ БУ'!M69+'ДОУ АУ'!M69)</f>
        <v>0</v>
      </c>
      <c r="N69" s="33">
        <f>SUM('ДОУ БУ'!N69+'ДОУ АУ'!N69)</f>
        <v>0</v>
      </c>
      <c r="O69" s="33">
        <f>SUM('ДОУ БУ'!O69+'ДОУ АУ'!O69)</f>
        <v>0</v>
      </c>
      <c r="P69" s="33">
        <f>SUM('ДОУ БУ'!P69+'ДОУ АУ'!P69)</f>
        <v>0</v>
      </c>
      <c r="Q69" s="33">
        <f>SUM('ДОУ БУ'!Q69+'ДОУ АУ'!Q69)</f>
        <v>0</v>
      </c>
      <c r="R69" s="33">
        <f>SUM('ДОУ БУ'!R69+'ДОУ АУ'!R69)</f>
        <v>0</v>
      </c>
      <c r="S69" s="33">
        <f>SUM('ДОУ БУ'!S69+'ДОУ АУ'!S69)</f>
        <v>0</v>
      </c>
      <c r="T69" s="33">
        <f>SUM('ДОУ БУ'!T69+'ДОУ АУ'!T69)</f>
        <v>0</v>
      </c>
    </row>
    <row r="70" spans="1:20" s="22" customFormat="1" ht="16.5" x14ac:dyDescent="0.25">
      <c r="A70" s="52"/>
      <c r="B70" s="28" t="s">
        <v>76</v>
      </c>
      <c r="C70" s="55">
        <v>340</v>
      </c>
      <c r="D70" s="33">
        <f t="shared" si="3"/>
        <v>3485724.5</v>
      </c>
      <c r="E70" s="33">
        <f t="shared" si="4"/>
        <v>1734856.3</v>
      </c>
      <c r="F70" s="33"/>
      <c r="G70" s="33">
        <f>SUM('ДОУ БУ'!G70+'ДОУ АУ'!G70)</f>
        <v>0</v>
      </c>
      <c r="H70" s="33">
        <f>SUM('ДОУ БУ'!H70+'ДОУ АУ'!H70)</f>
        <v>0</v>
      </c>
      <c r="I70" s="33">
        <f>SUM('ДОУ БУ'!I70+'ДОУ АУ'!I70)</f>
        <v>0</v>
      </c>
      <c r="J70" s="33">
        <f>SUM('ДОУ БУ'!J70+'ДОУ АУ'!J70)</f>
        <v>0</v>
      </c>
      <c r="K70" s="33">
        <f>SUM('ДОУ БУ'!K70+'ДОУ АУ'!K70)</f>
        <v>3485724.5</v>
      </c>
      <c r="L70" s="33">
        <f>SUM('ДОУ БУ'!L70+'ДОУ АУ'!L70)</f>
        <v>1734856.3</v>
      </c>
      <c r="M70" s="33">
        <f>SUM('ДОУ БУ'!M70+'ДОУ АУ'!M70)</f>
        <v>0</v>
      </c>
      <c r="N70" s="33">
        <f>SUM('ДОУ БУ'!N70+'ДОУ АУ'!N70)</f>
        <v>0</v>
      </c>
      <c r="O70" s="33">
        <f>SUM('ДОУ БУ'!O70+'ДОУ АУ'!O70)</f>
        <v>0</v>
      </c>
      <c r="P70" s="33">
        <f>SUM('ДОУ БУ'!P70+'ДОУ АУ'!P70)</f>
        <v>0</v>
      </c>
      <c r="Q70" s="33">
        <f>SUM('ДОУ БУ'!Q70+'ДОУ АУ'!Q70)</f>
        <v>0</v>
      </c>
      <c r="R70" s="33">
        <f>SUM('ДОУ БУ'!R70+'ДОУ АУ'!R70)</f>
        <v>0</v>
      </c>
      <c r="S70" s="33">
        <f>SUM('ДОУ БУ'!S70+'ДОУ АУ'!S70)</f>
        <v>0</v>
      </c>
      <c r="T70" s="33">
        <f>SUM('ДОУ БУ'!T70+'ДОУ АУ'!T70)</f>
        <v>0</v>
      </c>
    </row>
    <row r="71" spans="1:20" s="22" customFormat="1" ht="16.5" x14ac:dyDescent="0.25">
      <c r="A71" s="52"/>
      <c r="B71" s="28" t="s">
        <v>77</v>
      </c>
      <c r="C71" s="55">
        <v>340</v>
      </c>
      <c r="D71" s="33">
        <f t="shared" si="3"/>
        <v>0</v>
      </c>
      <c r="E71" s="33">
        <f t="shared" si="4"/>
        <v>0</v>
      </c>
      <c r="F71" s="33"/>
      <c r="G71" s="33">
        <f>SUM('ДОУ БУ'!G71+'ДОУ АУ'!G71)</f>
        <v>0</v>
      </c>
      <c r="H71" s="33">
        <f>SUM('ДОУ БУ'!H71+'ДОУ АУ'!H71)</f>
        <v>0</v>
      </c>
      <c r="I71" s="33">
        <f>SUM('ДОУ БУ'!I71+'ДОУ АУ'!I71)</f>
        <v>0</v>
      </c>
      <c r="J71" s="33">
        <f>SUM('ДОУ БУ'!J71+'ДОУ АУ'!J71)</f>
        <v>0</v>
      </c>
      <c r="K71" s="33">
        <f>SUM('ДОУ БУ'!K71+'ДОУ АУ'!K71)</f>
        <v>0</v>
      </c>
      <c r="L71" s="33">
        <f>SUM('ДОУ БУ'!L71+'ДОУ АУ'!L71)</f>
        <v>0</v>
      </c>
      <c r="M71" s="33">
        <f>SUM('ДОУ БУ'!M71+'ДОУ АУ'!M71)</f>
        <v>0</v>
      </c>
      <c r="N71" s="33">
        <f>SUM('ДОУ БУ'!N71+'ДОУ АУ'!N71)</f>
        <v>0</v>
      </c>
      <c r="O71" s="33">
        <f>SUM('ДОУ БУ'!O71+'ДОУ АУ'!O71)</f>
        <v>0</v>
      </c>
      <c r="P71" s="33">
        <f>SUM('ДОУ БУ'!P71+'ДОУ АУ'!P71)</f>
        <v>0</v>
      </c>
      <c r="Q71" s="33">
        <f>SUM('ДОУ БУ'!Q71+'ДОУ АУ'!Q71)</f>
        <v>0</v>
      </c>
      <c r="R71" s="33">
        <f>SUM('ДОУ БУ'!R71+'ДОУ АУ'!R71)</f>
        <v>0</v>
      </c>
      <c r="S71" s="33">
        <f>SUM('ДОУ БУ'!S71+'ДОУ АУ'!S71)</f>
        <v>0</v>
      </c>
      <c r="T71" s="33">
        <f>SUM('ДОУ БУ'!T71+'ДОУ АУ'!T71)</f>
        <v>0</v>
      </c>
    </row>
    <row r="72" spans="1:20" s="22" customFormat="1" ht="16.5" x14ac:dyDescent="0.25">
      <c r="A72" s="52" t="s">
        <v>78</v>
      </c>
      <c r="B72" s="28" t="s">
        <v>79</v>
      </c>
      <c r="C72" s="55"/>
      <c r="D72" s="33">
        <f t="shared" si="3"/>
        <v>0</v>
      </c>
      <c r="E72" s="33">
        <f t="shared" si="4"/>
        <v>0</v>
      </c>
      <c r="F72" s="33"/>
      <c r="G72" s="33">
        <f>SUM('ДОУ БУ'!G72+'ДОУ АУ'!G72)</f>
        <v>0</v>
      </c>
      <c r="H72" s="33">
        <f>SUM('ДОУ БУ'!H72+'ДОУ АУ'!H72)</f>
        <v>0</v>
      </c>
      <c r="I72" s="33">
        <f>SUM('ДОУ БУ'!I72+'ДОУ АУ'!I72)</f>
        <v>0</v>
      </c>
      <c r="J72" s="33">
        <f>SUM('ДОУ БУ'!J72+'ДОУ АУ'!J72)</f>
        <v>0</v>
      </c>
      <c r="K72" s="33">
        <f>SUM('ДОУ БУ'!K72+'ДОУ АУ'!K72)</f>
        <v>0</v>
      </c>
      <c r="L72" s="33">
        <f>SUM('ДОУ БУ'!L72+'ДОУ АУ'!L72)</f>
        <v>0</v>
      </c>
      <c r="M72" s="33">
        <f>SUM('ДОУ БУ'!M72+'ДОУ АУ'!M72)</f>
        <v>0</v>
      </c>
      <c r="N72" s="33">
        <f>SUM('ДОУ БУ'!N72+'ДОУ АУ'!N72)</f>
        <v>0</v>
      </c>
      <c r="O72" s="33">
        <f>SUM('ДОУ БУ'!O72+'ДОУ АУ'!O72)</f>
        <v>0</v>
      </c>
      <c r="P72" s="33">
        <f>SUM('ДОУ БУ'!P72+'ДОУ АУ'!P72)</f>
        <v>0</v>
      </c>
      <c r="Q72" s="33">
        <f>SUM('ДОУ БУ'!Q72+'ДОУ АУ'!Q72)</f>
        <v>0</v>
      </c>
      <c r="R72" s="33">
        <f>SUM('ДОУ БУ'!R72+'ДОУ АУ'!R72)</f>
        <v>0</v>
      </c>
      <c r="S72" s="33">
        <f>SUM('ДОУ БУ'!S72+'ДОУ АУ'!S72)</f>
        <v>0</v>
      </c>
      <c r="T72" s="33">
        <f>SUM('ДОУ БУ'!T72+'ДОУ АУ'!T72)</f>
        <v>0</v>
      </c>
    </row>
    <row r="73" spans="1:20" s="22" customFormat="1" ht="16.5" hidden="1" x14ac:dyDescent="0.25">
      <c r="A73" s="52"/>
      <c r="B73" s="28" t="s">
        <v>66</v>
      </c>
      <c r="C73" s="55">
        <v>226</v>
      </c>
      <c r="D73" s="33">
        <f t="shared" si="3"/>
        <v>0</v>
      </c>
      <c r="E73" s="33">
        <f t="shared" si="4"/>
        <v>0</v>
      </c>
      <c r="F73" s="33"/>
      <c r="G73" s="33">
        <f>SUM('ДОУ БУ'!G73+'ДОУ АУ'!G73)</f>
        <v>0</v>
      </c>
      <c r="H73" s="33">
        <f>SUM('ДОУ БУ'!H73+'ДОУ АУ'!H73)</f>
        <v>0</v>
      </c>
      <c r="I73" s="33">
        <f>SUM('ДОУ БУ'!I73+'ДОУ АУ'!I73)</f>
        <v>0</v>
      </c>
      <c r="J73" s="33">
        <f>SUM('ДОУ БУ'!J73+'ДОУ АУ'!J73)</f>
        <v>0</v>
      </c>
      <c r="K73" s="33">
        <f>SUM('ДОУ БУ'!K73+'ДОУ АУ'!K73)</f>
        <v>0</v>
      </c>
      <c r="L73" s="33">
        <f>SUM('ДОУ БУ'!L73+'ДОУ АУ'!L73)</f>
        <v>0</v>
      </c>
      <c r="M73" s="33">
        <f>SUM('ДОУ БУ'!M73+'ДОУ АУ'!M73)</f>
        <v>0</v>
      </c>
      <c r="N73" s="33">
        <f>SUM('ДОУ БУ'!N73+'ДОУ АУ'!N73)</f>
        <v>0</v>
      </c>
      <c r="O73" s="33">
        <f>SUM('ДОУ БУ'!O73+'ДОУ АУ'!O73)</f>
        <v>0</v>
      </c>
      <c r="P73" s="33">
        <f>SUM('ДОУ БУ'!P73+'ДОУ АУ'!P73)</f>
        <v>0</v>
      </c>
      <c r="Q73" s="33">
        <f>SUM('ДОУ БУ'!Q73+'ДОУ АУ'!Q73)</f>
        <v>0</v>
      </c>
      <c r="R73" s="33">
        <f>SUM('ДОУ БУ'!R73+'ДОУ АУ'!R73)</f>
        <v>0</v>
      </c>
      <c r="S73" s="33">
        <f>SUM('ДОУ БУ'!S73+'ДОУ АУ'!S73)</f>
        <v>0</v>
      </c>
      <c r="T73" s="33">
        <f>SUM('ДОУ БУ'!T73+'ДОУ АУ'!T73)</f>
        <v>0</v>
      </c>
    </row>
    <row r="74" spans="1:20" s="22" customFormat="1" ht="16.5" hidden="1" x14ac:dyDescent="0.25">
      <c r="A74" s="52"/>
      <c r="B74" s="58" t="s">
        <v>74</v>
      </c>
      <c r="C74" s="55">
        <v>340</v>
      </c>
      <c r="D74" s="33">
        <f t="shared" si="3"/>
        <v>0</v>
      </c>
      <c r="E74" s="33">
        <f t="shared" si="4"/>
        <v>0</v>
      </c>
      <c r="F74" s="33"/>
      <c r="G74" s="33">
        <f>SUM('ДОУ БУ'!G74+'ДОУ АУ'!G74)</f>
        <v>0</v>
      </c>
      <c r="H74" s="33">
        <f>SUM('ДОУ БУ'!H74+'ДОУ АУ'!H74)</f>
        <v>0</v>
      </c>
      <c r="I74" s="33">
        <f>SUM('ДОУ БУ'!I74+'ДОУ АУ'!I74)</f>
        <v>0</v>
      </c>
      <c r="J74" s="33">
        <f>SUM('ДОУ БУ'!J74+'ДОУ АУ'!J74)</f>
        <v>0</v>
      </c>
      <c r="K74" s="33">
        <f>SUM('ДОУ БУ'!K74+'ДОУ АУ'!K74)</f>
        <v>0</v>
      </c>
      <c r="L74" s="33">
        <f>SUM('ДОУ БУ'!L74+'ДОУ АУ'!L74)</f>
        <v>0</v>
      </c>
      <c r="M74" s="33">
        <f>SUM('ДОУ БУ'!M74+'ДОУ АУ'!M74)</f>
        <v>0</v>
      </c>
      <c r="N74" s="33">
        <f>SUM('ДОУ БУ'!N74+'ДОУ АУ'!N74)</f>
        <v>0</v>
      </c>
      <c r="O74" s="33">
        <f>SUM('ДОУ БУ'!O74+'ДОУ АУ'!O74)</f>
        <v>0</v>
      </c>
      <c r="P74" s="33">
        <f>SUM('ДОУ БУ'!P74+'ДОУ АУ'!P74)</f>
        <v>0</v>
      </c>
      <c r="Q74" s="33">
        <f>SUM('ДОУ БУ'!Q74+'ДОУ АУ'!Q74)</f>
        <v>0</v>
      </c>
      <c r="R74" s="33">
        <f>SUM('ДОУ БУ'!R74+'ДОУ АУ'!R74)</f>
        <v>0</v>
      </c>
      <c r="S74" s="33">
        <f>SUM('ДОУ БУ'!S74+'ДОУ АУ'!S74)</f>
        <v>0</v>
      </c>
      <c r="T74" s="33">
        <f>SUM('ДОУ БУ'!T74+'ДОУ АУ'!T74)</f>
        <v>0</v>
      </c>
    </row>
    <row r="75" spans="1:20" s="22" customFormat="1" ht="16.5" x14ac:dyDescent="0.25">
      <c r="A75" s="52" t="s">
        <v>283</v>
      </c>
      <c r="B75" s="28" t="s">
        <v>24</v>
      </c>
      <c r="C75" s="55"/>
      <c r="D75" s="33">
        <f t="shared" si="3"/>
        <v>31799683.5</v>
      </c>
      <c r="E75" s="33">
        <f t="shared" si="4"/>
        <v>6570092.8199999994</v>
      </c>
      <c r="F75" s="33"/>
      <c r="G75" s="33">
        <f>SUM('ДОУ БУ'!G75+'ДОУ АУ'!G75)</f>
        <v>31799683.5</v>
      </c>
      <c r="H75" s="33">
        <f>SUM('ДОУ БУ'!H75+'ДОУ АУ'!H75)</f>
        <v>6570092.8199999994</v>
      </c>
      <c r="I75" s="33">
        <f>SUM('ДОУ БУ'!I75+'ДОУ АУ'!I75)</f>
        <v>0</v>
      </c>
      <c r="J75" s="33">
        <f>SUM('ДОУ БУ'!J75+'ДОУ АУ'!J75)</f>
        <v>0</v>
      </c>
      <c r="K75" s="33">
        <f>SUM('ДОУ БУ'!K75+'ДОУ АУ'!K75)</f>
        <v>0</v>
      </c>
      <c r="L75" s="33">
        <f>SUM('ДОУ БУ'!L75+'ДОУ АУ'!L75)</f>
        <v>0</v>
      </c>
      <c r="M75" s="33">
        <f>SUM('ДОУ БУ'!M75+'ДОУ АУ'!M75)</f>
        <v>0</v>
      </c>
      <c r="N75" s="33">
        <f>SUM('ДОУ БУ'!N75+'ДОУ АУ'!N75)</f>
        <v>0</v>
      </c>
      <c r="O75" s="33">
        <f>SUM('ДОУ БУ'!O75+'ДОУ АУ'!O75)</f>
        <v>0</v>
      </c>
      <c r="P75" s="33">
        <f>SUM('ДОУ БУ'!P75+'ДОУ АУ'!P75)</f>
        <v>0</v>
      </c>
      <c r="Q75" s="33">
        <f>SUM('ДОУ БУ'!Q75+'ДОУ АУ'!Q75)</f>
        <v>0</v>
      </c>
      <c r="R75" s="33">
        <f>SUM('ДОУ БУ'!R75+'ДОУ АУ'!R75)</f>
        <v>0</v>
      </c>
      <c r="S75" s="33">
        <f>SUM('ДОУ БУ'!S75+'ДОУ АУ'!S75)</f>
        <v>0</v>
      </c>
      <c r="T75" s="33">
        <f>SUM('ДОУ БУ'!T75+'ДОУ АУ'!T75)</f>
        <v>0</v>
      </c>
    </row>
    <row r="76" spans="1:20" s="22" customFormat="1" ht="16.5" x14ac:dyDescent="0.25">
      <c r="A76" s="52"/>
      <c r="B76" s="58" t="s">
        <v>74</v>
      </c>
      <c r="C76" s="55">
        <v>340</v>
      </c>
      <c r="D76" s="33">
        <f t="shared" si="3"/>
        <v>31799683.5</v>
      </c>
      <c r="E76" s="33">
        <f t="shared" si="4"/>
        <v>6570092.8199999994</v>
      </c>
      <c r="F76" s="33"/>
      <c r="G76" s="33">
        <f>SUM('ДОУ БУ'!G76+'ДОУ АУ'!G76)</f>
        <v>31799683.5</v>
      </c>
      <c r="H76" s="33">
        <f>SUM('ДОУ БУ'!H76+'ДОУ АУ'!H76)</f>
        <v>6570092.8199999994</v>
      </c>
      <c r="I76" s="33">
        <f>SUM('ДОУ БУ'!I76+'ДОУ АУ'!I76)</f>
        <v>0</v>
      </c>
      <c r="J76" s="33">
        <f>SUM('ДОУ БУ'!J76+'ДОУ АУ'!J76)</f>
        <v>0</v>
      </c>
      <c r="K76" s="33">
        <f>SUM('ДОУ БУ'!K76+'ДОУ АУ'!K76)</f>
        <v>0</v>
      </c>
      <c r="L76" s="33">
        <f>SUM('ДОУ БУ'!L76+'ДОУ АУ'!L76)</f>
        <v>0</v>
      </c>
      <c r="M76" s="33">
        <f>SUM('ДОУ БУ'!M76+'ДОУ АУ'!M76)</f>
        <v>0</v>
      </c>
      <c r="N76" s="33">
        <f>SUM('ДОУ БУ'!N76+'ДОУ АУ'!N76)</f>
        <v>0</v>
      </c>
      <c r="O76" s="33">
        <f>SUM('ДОУ БУ'!O76+'ДОУ АУ'!O76)</f>
        <v>0</v>
      </c>
      <c r="P76" s="33">
        <f>SUM('ДОУ БУ'!P76+'ДОУ АУ'!P76)</f>
        <v>0</v>
      </c>
      <c r="Q76" s="33">
        <f>SUM('ДОУ БУ'!Q76+'ДОУ АУ'!Q76)</f>
        <v>0</v>
      </c>
      <c r="R76" s="33">
        <f>SUM('ДОУ БУ'!R76+'ДОУ АУ'!R76)</f>
        <v>0</v>
      </c>
      <c r="S76" s="33">
        <f>SUM('ДОУ БУ'!S76+'ДОУ АУ'!S76)</f>
        <v>0</v>
      </c>
      <c r="T76" s="33">
        <f>SUM('ДОУ БУ'!T76+'ДОУ АУ'!T76)</f>
        <v>0</v>
      </c>
    </row>
    <row r="77" spans="1:20" s="22" customFormat="1" ht="16.5" hidden="1" x14ac:dyDescent="0.25">
      <c r="A77" s="52"/>
      <c r="B77" s="58"/>
      <c r="C77" s="55"/>
      <c r="D77" s="33">
        <f t="shared" si="3"/>
        <v>0</v>
      </c>
      <c r="E77" s="33">
        <f t="shared" si="4"/>
        <v>0</v>
      </c>
      <c r="F77" s="33"/>
      <c r="G77" s="33">
        <f>SUM('ДОУ БУ'!G77+'ДОУ АУ'!G77)</f>
        <v>0</v>
      </c>
      <c r="H77" s="33"/>
      <c r="I77" s="33">
        <f>SUM('ДОУ БУ'!I77+'ДОУ АУ'!I77)</f>
        <v>0</v>
      </c>
      <c r="J77" s="33"/>
      <c r="K77" s="33">
        <f>SUM('ДОУ БУ'!K77+'ДОУ АУ'!K77)</f>
        <v>0</v>
      </c>
      <c r="L77" s="33"/>
      <c r="M77" s="33">
        <f>SUM('ДОУ БУ'!M77+'ДОУ АУ'!M77)</f>
        <v>0</v>
      </c>
      <c r="N77" s="33"/>
      <c r="O77" s="33">
        <f>SUM('ДОУ БУ'!O77+'ДОУ АУ'!O77)</f>
        <v>0</v>
      </c>
      <c r="P77" s="33"/>
      <c r="Q77" s="33"/>
      <c r="R77" s="33"/>
      <c r="S77" s="33">
        <f>SUM('ДОУ БУ'!S77+'ДОУ АУ'!S77)</f>
        <v>0</v>
      </c>
      <c r="T77" s="33">
        <f>SUM('ДОУ БУ'!T77+'ДОУ АУ'!T77)</f>
        <v>0</v>
      </c>
    </row>
    <row r="78" spans="1:20" s="20" customFormat="1" ht="17.25" x14ac:dyDescent="0.25">
      <c r="A78" s="59" t="s">
        <v>21</v>
      </c>
      <c r="B78" s="48" t="s">
        <v>22</v>
      </c>
      <c r="C78" s="54"/>
      <c r="D78" s="25">
        <f t="shared" ref="D78:T78" si="27">SUM(D79:D81)</f>
        <v>49675669.5</v>
      </c>
      <c r="E78" s="25">
        <f t="shared" si="27"/>
        <v>0</v>
      </c>
      <c r="F78" s="25"/>
      <c r="G78" s="25">
        <f t="shared" si="27"/>
        <v>49675669.5</v>
      </c>
      <c r="H78" s="25">
        <f t="shared" si="27"/>
        <v>0</v>
      </c>
      <c r="I78" s="25">
        <f t="shared" si="27"/>
        <v>0</v>
      </c>
      <c r="J78" s="25">
        <f t="shared" si="27"/>
        <v>0</v>
      </c>
      <c r="K78" s="25">
        <f t="shared" si="27"/>
        <v>0</v>
      </c>
      <c r="L78" s="25">
        <f t="shared" si="27"/>
        <v>0</v>
      </c>
      <c r="M78" s="25">
        <f t="shared" si="27"/>
        <v>0</v>
      </c>
      <c r="N78" s="25">
        <f t="shared" si="27"/>
        <v>0</v>
      </c>
      <c r="O78" s="25">
        <f t="shared" si="27"/>
        <v>0</v>
      </c>
      <c r="P78" s="25">
        <f t="shared" si="27"/>
        <v>0</v>
      </c>
      <c r="Q78" s="25">
        <f t="shared" si="27"/>
        <v>0</v>
      </c>
      <c r="R78" s="25">
        <f t="shared" si="27"/>
        <v>0</v>
      </c>
      <c r="S78" s="25">
        <f t="shared" si="27"/>
        <v>0</v>
      </c>
      <c r="T78" s="25">
        <f t="shared" si="27"/>
        <v>0</v>
      </c>
    </row>
    <row r="79" spans="1:20" s="22" customFormat="1" ht="16.5" x14ac:dyDescent="0.25">
      <c r="A79" s="52"/>
      <c r="B79" s="28" t="s">
        <v>80</v>
      </c>
      <c r="C79" s="55">
        <v>290</v>
      </c>
      <c r="D79" s="33">
        <f t="shared" si="3"/>
        <v>23361489</v>
      </c>
      <c r="E79" s="33">
        <f t="shared" si="4"/>
        <v>0</v>
      </c>
      <c r="F79" s="33"/>
      <c r="G79" s="33">
        <f>SUM('ДОУ БУ'!G79+'ДОУ АУ'!G79)</f>
        <v>23361489</v>
      </c>
      <c r="H79" s="33"/>
      <c r="I79" s="33">
        <f>SUM('ДОУ БУ'!I79+'ДОУ АУ'!I79)</f>
        <v>0</v>
      </c>
      <c r="J79" s="33"/>
      <c r="K79" s="33">
        <f>SUM('ДОУ БУ'!K79+'ДОУ АУ'!K79)</f>
        <v>0</v>
      </c>
      <c r="L79" s="33"/>
      <c r="M79" s="33">
        <f>SUM('ДОУ БУ'!M79+'ДОУ АУ'!M79)</f>
        <v>0</v>
      </c>
      <c r="N79" s="33"/>
      <c r="O79" s="33">
        <f>SUM('ДОУ БУ'!O79+'ДОУ АУ'!O79)</f>
        <v>0</v>
      </c>
      <c r="P79" s="33"/>
      <c r="Q79" s="33"/>
      <c r="R79" s="33"/>
      <c r="S79" s="33">
        <f>SUM('ДОУ БУ'!S79+'ДОУ АУ'!S79)</f>
        <v>0</v>
      </c>
      <c r="T79" s="33">
        <f>SUM('ДОУ БУ'!T79+'ДОУ АУ'!T79)</f>
        <v>0</v>
      </c>
    </row>
    <row r="80" spans="1:20" s="22" customFormat="1" ht="16.5" x14ac:dyDescent="0.25">
      <c r="A80" s="50"/>
      <c r="B80" s="28" t="s">
        <v>81</v>
      </c>
      <c r="C80" s="55">
        <v>290</v>
      </c>
      <c r="D80" s="33">
        <f t="shared" si="3"/>
        <v>25933330.5</v>
      </c>
      <c r="E80" s="33">
        <f t="shared" si="4"/>
        <v>0</v>
      </c>
      <c r="F80" s="33"/>
      <c r="G80" s="33">
        <f>SUM('ДОУ БУ'!G80+'ДОУ АУ'!G80)</f>
        <v>25933330.5</v>
      </c>
      <c r="H80" s="33"/>
      <c r="I80" s="33">
        <f>SUM('ДОУ БУ'!I80+'ДОУ АУ'!I80)</f>
        <v>0</v>
      </c>
      <c r="J80" s="33"/>
      <c r="K80" s="33">
        <f>SUM('ДОУ БУ'!K80+'ДОУ АУ'!K80)</f>
        <v>0</v>
      </c>
      <c r="L80" s="33"/>
      <c r="M80" s="33">
        <f>SUM('ДОУ БУ'!M80+'ДОУ АУ'!M80)</f>
        <v>0</v>
      </c>
      <c r="N80" s="33"/>
      <c r="O80" s="33">
        <f>SUM('ДОУ БУ'!O80+'ДОУ АУ'!O80)</f>
        <v>0</v>
      </c>
      <c r="P80" s="33"/>
      <c r="Q80" s="33"/>
      <c r="R80" s="33"/>
      <c r="S80" s="33">
        <f>SUM('ДОУ БУ'!S80+'ДОУ АУ'!S80)</f>
        <v>0</v>
      </c>
      <c r="T80" s="33">
        <f>SUM('ДОУ БУ'!T80+'ДОУ АУ'!T80)</f>
        <v>0</v>
      </c>
    </row>
    <row r="81" spans="1:20" s="22" customFormat="1" ht="16.5" x14ac:dyDescent="0.25">
      <c r="A81" s="50"/>
      <c r="B81" s="28" t="s">
        <v>82</v>
      </c>
      <c r="C81" s="55">
        <v>290</v>
      </c>
      <c r="D81" s="33">
        <f t="shared" si="3"/>
        <v>380850</v>
      </c>
      <c r="E81" s="33">
        <f t="shared" si="4"/>
        <v>0</v>
      </c>
      <c r="F81" s="33"/>
      <c r="G81" s="33">
        <f>SUM('ДОУ БУ'!G81+'ДОУ АУ'!G81)</f>
        <v>380850</v>
      </c>
      <c r="H81" s="33"/>
      <c r="I81" s="33">
        <f>SUM('ДОУ БУ'!I81+'ДОУ АУ'!I81)</f>
        <v>0</v>
      </c>
      <c r="J81" s="33"/>
      <c r="K81" s="33">
        <f>SUM('ДОУ БУ'!K81+'ДОУ АУ'!K81)</f>
        <v>0</v>
      </c>
      <c r="L81" s="33"/>
      <c r="M81" s="33">
        <f>SUM('ДОУ БУ'!M81+'ДОУ АУ'!M81)</f>
        <v>0</v>
      </c>
      <c r="N81" s="33"/>
      <c r="O81" s="33">
        <f>SUM('ДОУ БУ'!O81+'ДОУ АУ'!O81)</f>
        <v>0</v>
      </c>
      <c r="P81" s="33"/>
      <c r="Q81" s="33"/>
      <c r="R81" s="33"/>
      <c r="S81" s="33">
        <f>SUM('ДОУ БУ'!S81+'ДОУ АУ'!S81)</f>
        <v>0</v>
      </c>
      <c r="T81" s="33">
        <f>SUM('ДОУ БУ'!T81+'ДОУ АУ'!T81)</f>
        <v>0</v>
      </c>
    </row>
    <row r="82" spans="1:20" s="20" customFormat="1" ht="17.25" hidden="1" x14ac:dyDescent="0.25">
      <c r="A82" s="59"/>
      <c r="B82" s="48"/>
      <c r="C82" s="54"/>
      <c r="D82" s="33">
        <f t="shared" ref="D82:D151" si="28">SUM(G82+I82+K82+M82+O82+Q82+S82)</f>
        <v>0</v>
      </c>
      <c r="E82" s="33">
        <f t="shared" ref="E82:E151" si="29">SUM(H82+J82+L82+N82+P82+R82+T82)</f>
        <v>0</v>
      </c>
      <c r="F82" s="33"/>
      <c r="G82" s="33">
        <f>SUM('ДОУ БУ'!G82+'ДОУ АУ'!G82)</f>
        <v>0</v>
      </c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1:20" s="22" customFormat="1" ht="16.5" hidden="1" x14ac:dyDescent="0.25">
      <c r="A83" s="52"/>
      <c r="B83" s="58"/>
      <c r="C83" s="55"/>
      <c r="D83" s="33">
        <f t="shared" si="28"/>
        <v>0</v>
      </c>
      <c r="E83" s="33">
        <f t="shared" si="29"/>
        <v>0</v>
      </c>
      <c r="F83" s="33"/>
      <c r="G83" s="33">
        <f>SUM('ДОУ БУ'!G83+'ДОУ АУ'!G83)</f>
        <v>0</v>
      </c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</row>
    <row r="84" spans="1:20" s="20" customFormat="1" ht="17.25" x14ac:dyDescent="0.25">
      <c r="A84" s="59" t="s">
        <v>25</v>
      </c>
      <c r="B84" s="48" t="s">
        <v>26</v>
      </c>
      <c r="C84" s="54"/>
      <c r="D84" s="25">
        <f t="shared" ref="D84:I84" si="30">SUM(D85+D165+D168+D174+D180)</f>
        <v>144096872.56999999</v>
      </c>
      <c r="E84" s="25">
        <f t="shared" si="30"/>
        <v>33826051.07</v>
      </c>
      <c r="F84" s="25"/>
      <c r="G84" s="25">
        <f t="shared" si="30"/>
        <v>144096872.56999999</v>
      </c>
      <c r="H84" s="25">
        <f t="shared" si="30"/>
        <v>33826051.07</v>
      </c>
      <c r="I84" s="25">
        <f t="shared" si="30"/>
        <v>0</v>
      </c>
      <c r="J84" s="25">
        <f t="shared" ref="J84:T84" si="31">SUM(J85+J165+J168+J174+J180)</f>
        <v>0</v>
      </c>
      <c r="K84" s="25">
        <f t="shared" si="31"/>
        <v>0</v>
      </c>
      <c r="L84" s="25">
        <f t="shared" si="31"/>
        <v>0</v>
      </c>
      <c r="M84" s="25">
        <f t="shared" si="31"/>
        <v>0</v>
      </c>
      <c r="N84" s="25">
        <f t="shared" si="31"/>
        <v>0</v>
      </c>
      <c r="O84" s="25">
        <f t="shared" si="31"/>
        <v>0</v>
      </c>
      <c r="P84" s="25">
        <f t="shared" si="31"/>
        <v>0</v>
      </c>
      <c r="Q84" s="25">
        <f t="shared" si="31"/>
        <v>0</v>
      </c>
      <c r="R84" s="25">
        <f t="shared" si="31"/>
        <v>0</v>
      </c>
      <c r="S84" s="25">
        <f t="shared" si="31"/>
        <v>0</v>
      </c>
      <c r="T84" s="25">
        <f t="shared" si="31"/>
        <v>0</v>
      </c>
    </row>
    <row r="85" spans="1:20" s="20" customFormat="1" ht="51.75" x14ac:dyDescent="0.25">
      <c r="A85" s="59" t="s">
        <v>27</v>
      </c>
      <c r="B85" s="48" t="s">
        <v>83</v>
      </c>
      <c r="C85" s="54"/>
      <c r="D85" s="25">
        <f t="shared" ref="D85:I85" si="32">SUM(D86+D89+D99+D118+D129+D135)</f>
        <v>141967651.56999999</v>
      </c>
      <c r="E85" s="25">
        <f t="shared" si="32"/>
        <v>33426071.870000001</v>
      </c>
      <c r="F85" s="25"/>
      <c r="G85" s="25">
        <f t="shared" si="32"/>
        <v>141967651.56999999</v>
      </c>
      <c r="H85" s="25">
        <f t="shared" si="32"/>
        <v>33426071.870000001</v>
      </c>
      <c r="I85" s="25">
        <f t="shared" si="32"/>
        <v>0</v>
      </c>
      <c r="J85" s="25">
        <f t="shared" ref="J85:T85" si="33">SUM(J86+J89+J99+J118+J129+J135)</f>
        <v>0</v>
      </c>
      <c r="K85" s="25">
        <f t="shared" si="33"/>
        <v>0</v>
      </c>
      <c r="L85" s="25">
        <f t="shared" si="33"/>
        <v>0</v>
      </c>
      <c r="M85" s="25">
        <f t="shared" si="33"/>
        <v>0</v>
      </c>
      <c r="N85" s="25">
        <f t="shared" si="33"/>
        <v>0</v>
      </c>
      <c r="O85" s="25">
        <f t="shared" si="33"/>
        <v>0</v>
      </c>
      <c r="P85" s="25">
        <f t="shared" si="33"/>
        <v>0</v>
      </c>
      <c r="Q85" s="25">
        <f t="shared" si="33"/>
        <v>0</v>
      </c>
      <c r="R85" s="25">
        <f t="shared" si="33"/>
        <v>0</v>
      </c>
      <c r="S85" s="25">
        <f t="shared" si="33"/>
        <v>0</v>
      </c>
      <c r="T85" s="25">
        <f t="shared" si="33"/>
        <v>0</v>
      </c>
    </row>
    <row r="86" spans="1:20" s="20" customFormat="1" ht="17.25" x14ac:dyDescent="0.25">
      <c r="A86" s="59" t="s">
        <v>84</v>
      </c>
      <c r="B86" s="48" t="s">
        <v>85</v>
      </c>
      <c r="C86" s="54"/>
      <c r="D86" s="25">
        <f t="shared" ref="D86:I86" si="34">SUM(D87:D88)</f>
        <v>21496345</v>
      </c>
      <c r="E86" s="25">
        <f t="shared" si="34"/>
        <v>0</v>
      </c>
      <c r="F86" s="25"/>
      <c r="G86" s="25">
        <f t="shared" si="34"/>
        <v>21496345</v>
      </c>
      <c r="H86" s="25">
        <f t="shared" si="34"/>
        <v>0</v>
      </c>
      <c r="I86" s="25">
        <f t="shared" si="34"/>
        <v>0</v>
      </c>
      <c r="J86" s="25">
        <f t="shared" ref="J86:T86" si="35">SUM(J87:J88)</f>
        <v>0</v>
      </c>
      <c r="K86" s="25">
        <f t="shared" si="35"/>
        <v>0</v>
      </c>
      <c r="L86" s="25">
        <f t="shared" si="35"/>
        <v>0</v>
      </c>
      <c r="M86" s="25">
        <f t="shared" si="35"/>
        <v>0</v>
      </c>
      <c r="N86" s="25">
        <f t="shared" si="35"/>
        <v>0</v>
      </c>
      <c r="O86" s="25">
        <f t="shared" si="35"/>
        <v>0</v>
      </c>
      <c r="P86" s="25">
        <f t="shared" si="35"/>
        <v>0</v>
      </c>
      <c r="Q86" s="25">
        <f t="shared" si="35"/>
        <v>0</v>
      </c>
      <c r="R86" s="25">
        <f t="shared" si="35"/>
        <v>0</v>
      </c>
      <c r="S86" s="25">
        <f t="shared" si="35"/>
        <v>0</v>
      </c>
      <c r="T86" s="25">
        <f t="shared" si="35"/>
        <v>0</v>
      </c>
    </row>
    <row r="87" spans="1:20" s="26" customFormat="1" ht="16.5" x14ac:dyDescent="0.25">
      <c r="A87" s="60"/>
      <c r="B87" s="28" t="s">
        <v>86</v>
      </c>
      <c r="C87" s="55">
        <v>225</v>
      </c>
      <c r="D87" s="33">
        <f t="shared" si="28"/>
        <v>20948784</v>
      </c>
      <c r="E87" s="33">
        <f t="shared" si="29"/>
        <v>0</v>
      </c>
      <c r="F87" s="33"/>
      <c r="G87" s="33">
        <f>SUM('ДОУ БУ'!G87+'ДОУ АУ'!G87)</f>
        <v>20948784</v>
      </c>
      <c r="H87" s="33"/>
      <c r="I87" s="33">
        <f>SUM('ДОУ БУ'!I87+'ДОУ АУ'!I87)</f>
        <v>0</v>
      </c>
      <c r="J87" s="33"/>
      <c r="K87" s="33">
        <f>SUM('ДОУ БУ'!K87+'ДОУ АУ'!K87)</f>
        <v>0</v>
      </c>
      <c r="L87" s="33"/>
      <c r="M87" s="33">
        <f>SUM('ДОУ БУ'!M87+'ДОУ АУ'!M87)</f>
        <v>0</v>
      </c>
      <c r="N87" s="33"/>
      <c r="O87" s="33">
        <f>SUM('ДОУ БУ'!O87+'ДОУ АУ'!O87)</f>
        <v>0</v>
      </c>
      <c r="P87" s="33"/>
      <c r="Q87" s="33"/>
      <c r="R87" s="33"/>
      <c r="S87" s="33">
        <f>SUM('ДОУ БУ'!S87+'ДОУ АУ'!S87)</f>
        <v>0</v>
      </c>
      <c r="T87" s="33">
        <f>SUM('ДОУ БУ'!T87+'ДОУ АУ'!T87)</f>
        <v>0</v>
      </c>
    </row>
    <row r="88" spans="1:20" s="26" customFormat="1" ht="16.5" x14ac:dyDescent="0.25">
      <c r="A88" s="52"/>
      <c r="B88" s="28" t="s">
        <v>87</v>
      </c>
      <c r="C88" s="55">
        <v>226</v>
      </c>
      <c r="D88" s="33">
        <f t="shared" si="28"/>
        <v>547561</v>
      </c>
      <c r="E88" s="33">
        <f t="shared" si="29"/>
        <v>0</v>
      </c>
      <c r="F88" s="33"/>
      <c r="G88" s="33">
        <f>SUM('ДОУ БУ'!G88+'ДОУ АУ'!G88)</f>
        <v>547561</v>
      </c>
      <c r="H88" s="33"/>
      <c r="I88" s="33">
        <f>SUM('ДОУ БУ'!I88+'ДОУ АУ'!I88)</f>
        <v>0</v>
      </c>
      <c r="J88" s="33"/>
      <c r="K88" s="33">
        <f>SUM('ДОУ БУ'!K88+'ДОУ АУ'!K88)</f>
        <v>0</v>
      </c>
      <c r="L88" s="33"/>
      <c r="M88" s="33">
        <f>SUM('ДОУ БУ'!M88+'ДОУ АУ'!M88)</f>
        <v>0</v>
      </c>
      <c r="N88" s="33"/>
      <c r="O88" s="33">
        <f>SUM('ДОУ БУ'!O88+'ДОУ АУ'!O88)</f>
        <v>0</v>
      </c>
      <c r="P88" s="33"/>
      <c r="Q88" s="33"/>
      <c r="R88" s="33"/>
      <c r="S88" s="33">
        <f>SUM('ДОУ БУ'!S88+'ДОУ АУ'!S88)</f>
        <v>0</v>
      </c>
      <c r="T88" s="33">
        <f>SUM('ДОУ БУ'!T88+'ДОУ АУ'!T88)</f>
        <v>0</v>
      </c>
    </row>
    <row r="89" spans="1:20" s="20" customFormat="1" ht="17.25" x14ac:dyDescent="0.25">
      <c r="A89" s="59" t="s">
        <v>88</v>
      </c>
      <c r="B89" s="48" t="s">
        <v>89</v>
      </c>
      <c r="C89" s="54"/>
      <c r="D89" s="25">
        <f t="shared" ref="D89:T89" si="36">SUM(D90:D98)</f>
        <v>111202501</v>
      </c>
      <c r="E89" s="25">
        <f t="shared" si="36"/>
        <v>30824796.870000001</v>
      </c>
      <c r="F89" s="25"/>
      <c r="G89" s="25">
        <f t="shared" si="36"/>
        <v>111202501</v>
      </c>
      <c r="H89" s="25">
        <f t="shared" si="36"/>
        <v>30824796.870000001</v>
      </c>
      <c r="I89" s="25">
        <f t="shared" si="36"/>
        <v>0</v>
      </c>
      <c r="J89" s="25">
        <f t="shared" si="36"/>
        <v>0</v>
      </c>
      <c r="K89" s="25">
        <f t="shared" si="36"/>
        <v>0</v>
      </c>
      <c r="L89" s="25">
        <f t="shared" si="36"/>
        <v>0</v>
      </c>
      <c r="M89" s="25">
        <f t="shared" si="36"/>
        <v>0</v>
      </c>
      <c r="N89" s="25">
        <f t="shared" si="36"/>
        <v>0</v>
      </c>
      <c r="O89" s="25">
        <f t="shared" si="36"/>
        <v>0</v>
      </c>
      <c r="P89" s="25">
        <f t="shared" si="36"/>
        <v>0</v>
      </c>
      <c r="Q89" s="25">
        <f t="shared" si="36"/>
        <v>0</v>
      </c>
      <c r="R89" s="25">
        <f t="shared" si="36"/>
        <v>0</v>
      </c>
      <c r="S89" s="25">
        <f t="shared" si="36"/>
        <v>0</v>
      </c>
      <c r="T89" s="25">
        <f t="shared" si="36"/>
        <v>0</v>
      </c>
    </row>
    <row r="90" spans="1:20" s="26" customFormat="1" ht="33" x14ac:dyDescent="0.25">
      <c r="A90" s="52" t="s">
        <v>90</v>
      </c>
      <c r="B90" s="28" t="s">
        <v>91</v>
      </c>
      <c r="C90" s="55">
        <v>225</v>
      </c>
      <c r="D90" s="33">
        <f t="shared" si="28"/>
        <v>92899110</v>
      </c>
      <c r="E90" s="33">
        <f t="shared" si="29"/>
        <v>24725003.870000001</v>
      </c>
      <c r="F90" s="33"/>
      <c r="G90" s="33">
        <f>SUM('ДОУ БУ'!G90+'ДОУ АУ'!G90)</f>
        <v>92899110</v>
      </c>
      <c r="H90" s="33">
        <f>SUM('ДОУ БУ'!H90+'ДОУ АУ'!H90)</f>
        <v>24725003.870000001</v>
      </c>
      <c r="I90" s="33">
        <f>SUM('ДОУ БУ'!I90+'ДОУ АУ'!I90)</f>
        <v>0</v>
      </c>
      <c r="J90" s="33">
        <f>SUM('ДОУ БУ'!J90+'ДОУ АУ'!J90)</f>
        <v>0</v>
      </c>
      <c r="K90" s="33">
        <f>SUM('ДОУ БУ'!K90+'ДОУ АУ'!K90)</f>
        <v>0</v>
      </c>
      <c r="L90" s="33">
        <f>SUM('ДОУ БУ'!L90+'ДОУ АУ'!L90)</f>
        <v>0</v>
      </c>
      <c r="M90" s="33">
        <f>SUM('ДОУ БУ'!M90+'ДОУ АУ'!M90)</f>
        <v>0</v>
      </c>
      <c r="N90" s="33">
        <f>SUM('ДОУ БУ'!N90+'ДОУ АУ'!N90)</f>
        <v>0</v>
      </c>
      <c r="O90" s="33">
        <f>SUM('ДОУ БУ'!O90+'ДОУ АУ'!O90)</f>
        <v>0</v>
      </c>
      <c r="P90" s="33">
        <f>SUM('ДОУ БУ'!P90+'ДОУ АУ'!P90)</f>
        <v>0</v>
      </c>
      <c r="Q90" s="33">
        <f>SUM('ДОУ БУ'!Q90+'ДОУ АУ'!Q90)</f>
        <v>0</v>
      </c>
      <c r="R90" s="33">
        <f>SUM('ДОУ БУ'!R90+'ДОУ АУ'!R90)</f>
        <v>0</v>
      </c>
      <c r="S90" s="33">
        <f>SUM('ДОУ БУ'!S90+'ДОУ АУ'!S90)</f>
        <v>0</v>
      </c>
      <c r="T90" s="33">
        <f>SUM('ДОУ БУ'!T90+'ДОУ АУ'!T90)</f>
        <v>0</v>
      </c>
    </row>
    <row r="91" spans="1:20" s="26" customFormat="1" ht="16.5" x14ac:dyDescent="0.25">
      <c r="A91" s="52" t="s">
        <v>90</v>
      </c>
      <c r="B91" s="28" t="s">
        <v>87</v>
      </c>
      <c r="C91" s="55">
        <v>226</v>
      </c>
      <c r="D91" s="33">
        <f t="shared" si="28"/>
        <v>711081</v>
      </c>
      <c r="E91" s="33">
        <f t="shared" si="29"/>
        <v>643183</v>
      </c>
      <c r="F91" s="33"/>
      <c r="G91" s="33">
        <f>SUM('ДОУ БУ'!G91+'ДОУ АУ'!G91)</f>
        <v>711081</v>
      </c>
      <c r="H91" s="33">
        <f>SUM('ДОУ БУ'!H91+'ДОУ АУ'!H91)</f>
        <v>643183</v>
      </c>
      <c r="I91" s="33">
        <f>SUM('ДОУ БУ'!I91+'ДОУ АУ'!I91)</f>
        <v>0</v>
      </c>
      <c r="J91" s="33">
        <f>SUM('ДОУ БУ'!J91+'ДОУ АУ'!J91)</f>
        <v>0</v>
      </c>
      <c r="K91" s="33">
        <f>SUM('ДОУ БУ'!K91+'ДОУ АУ'!K91)</f>
        <v>0</v>
      </c>
      <c r="L91" s="33">
        <f>SUM('ДОУ БУ'!L91+'ДОУ АУ'!L91)</f>
        <v>0</v>
      </c>
      <c r="M91" s="33">
        <f>SUM('ДОУ БУ'!M91+'ДОУ АУ'!M91)</f>
        <v>0</v>
      </c>
      <c r="N91" s="33">
        <f>SUM('ДОУ БУ'!N91+'ДОУ АУ'!N91)</f>
        <v>0</v>
      </c>
      <c r="O91" s="33">
        <f>SUM('ДОУ БУ'!O91+'ДОУ АУ'!O91)</f>
        <v>0</v>
      </c>
      <c r="P91" s="33">
        <f>SUM('ДОУ БУ'!P91+'ДОУ АУ'!P91)</f>
        <v>0</v>
      </c>
      <c r="Q91" s="33">
        <f>SUM('ДОУ БУ'!Q91+'ДОУ АУ'!Q91)</f>
        <v>0</v>
      </c>
      <c r="R91" s="33">
        <f>SUM('ДОУ БУ'!R91+'ДОУ АУ'!R91)</f>
        <v>0</v>
      </c>
      <c r="S91" s="33">
        <f>SUM('ДОУ БУ'!S91+'ДОУ АУ'!S91)</f>
        <v>0</v>
      </c>
      <c r="T91" s="33">
        <f>SUM('ДОУ БУ'!T91+'ДОУ АУ'!T91)</f>
        <v>0</v>
      </c>
    </row>
    <row r="92" spans="1:20" s="26" customFormat="1" ht="16.5" x14ac:dyDescent="0.25">
      <c r="A92" s="52" t="s">
        <v>92</v>
      </c>
      <c r="B92" s="28" t="s">
        <v>93</v>
      </c>
      <c r="C92" s="55">
        <v>340</v>
      </c>
      <c r="D92" s="33">
        <f t="shared" si="28"/>
        <v>854143</v>
      </c>
      <c r="E92" s="33">
        <f t="shared" si="29"/>
        <v>854110</v>
      </c>
      <c r="F92" s="33"/>
      <c r="G92" s="97">
        <f>SUM('ДОУ БУ'!G92+'ДОУ АУ'!G92)</f>
        <v>854143</v>
      </c>
      <c r="H92" s="33">
        <f>SUM('ДОУ БУ'!H92+'ДОУ АУ'!H92)</f>
        <v>854110</v>
      </c>
      <c r="I92" s="33">
        <f>SUM('ДОУ БУ'!I92+'ДОУ АУ'!I92)</f>
        <v>0</v>
      </c>
      <c r="J92" s="33">
        <f>SUM('ДОУ БУ'!J92+'ДОУ АУ'!J92)</f>
        <v>0</v>
      </c>
      <c r="K92" s="33">
        <f>SUM('ДОУ БУ'!K92+'ДОУ АУ'!K92)</f>
        <v>0</v>
      </c>
      <c r="L92" s="33">
        <f>SUM('ДОУ БУ'!L92+'ДОУ АУ'!L92)</f>
        <v>0</v>
      </c>
      <c r="M92" s="33">
        <f>SUM('ДОУ БУ'!M92+'ДОУ АУ'!M92)</f>
        <v>0</v>
      </c>
      <c r="N92" s="33">
        <f>SUM('ДОУ БУ'!N92+'ДОУ АУ'!N92)</f>
        <v>0</v>
      </c>
      <c r="O92" s="33">
        <f>SUM('ДОУ БУ'!O92+'ДОУ АУ'!O92)</f>
        <v>0</v>
      </c>
      <c r="P92" s="33">
        <f>SUM('ДОУ БУ'!P92+'ДОУ АУ'!P92)</f>
        <v>0</v>
      </c>
      <c r="Q92" s="33">
        <f>SUM('ДОУ БУ'!Q92+'ДОУ АУ'!Q92)</f>
        <v>0</v>
      </c>
      <c r="R92" s="33">
        <f>SUM('ДОУ БУ'!R92+'ДОУ АУ'!R92)</f>
        <v>0</v>
      </c>
      <c r="S92" s="33">
        <f>SUM('ДОУ БУ'!S92+'ДОУ АУ'!S92)</f>
        <v>0</v>
      </c>
      <c r="T92" s="33">
        <f>SUM('ДОУ БУ'!T92+'ДОУ АУ'!T92)</f>
        <v>0</v>
      </c>
    </row>
    <row r="93" spans="1:20" s="26" customFormat="1" ht="16.5" x14ac:dyDescent="0.25">
      <c r="A93" s="52" t="s">
        <v>94</v>
      </c>
      <c r="B93" s="28" t="s">
        <v>95</v>
      </c>
      <c r="C93" s="55">
        <v>310</v>
      </c>
      <c r="D93" s="33">
        <f t="shared" si="28"/>
        <v>11748200</v>
      </c>
      <c r="E93" s="33">
        <f t="shared" si="29"/>
        <v>4284935</v>
      </c>
      <c r="F93" s="33"/>
      <c r="G93" s="33">
        <f>SUM('ДОУ БУ'!G93+'ДОУ АУ'!G93)</f>
        <v>11748200</v>
      </c>
      <c r="H93" s="33">
        <f>SUM('ДОУ БУ'!H93+'ДОУ АУ'!H93)</f>
        <v>4284935</v>
      </c>
      <c r="I93" s="33">
        <f>SUM('ДОУ БУ'!I93+'ДОУ АУ'!I93)</f>
        <v>0</v>
      </c>
      <c r="J93" s="33">
        <f>SUM('ДОУ БУ'!J93+'ДОУ АУ'!J93)</f>
        <v>0</v>
      </c>
      <c r="K93" s="33">
        <f>SUM('ДОУ БУ'!K93+'ДОУ АУ'!K93)</f>
        <v>0</v>
      </c>
      <c r="L93" s="33">
        <f>SUM('ДОУ БУ'!L93+'ДОУ АУ'!L93)</f>
        <v>0</v>
      </c>
      <c r="M93" s="33">
        <f>SUM('ДОУ БУ'!M93+'ДОУ АУ'!M93)</f>
        <v>0</v>
      </c>
      <c r="N93" s="33">
        <f>SUM('ДОУ БУ'!N93+'ДОУ АУ'!N93)</f>
        <v>0</v>
      </c>
      <c r="O93" s="33">
        <f>SUM('ДОУ БУ'!O93+'ДОУ АУ'!O93)</f>
        <v>0</v>
      </c>
      <c r="P93" s="33">
        <f>SUM('ДОУ БУ'!P93+'ДОУ АУ'!P93)</f>
        <v>0</v>
      </c>
      <c r="Q93" s="33">
        <f>SUM('ДОУ БУ'!Q93+'ДОУ АУ'!Q93)</f>
        <v>0</v>
      </c>
      <c r="R93" s="33">
        <f>SUM('ДОУ БУ'!R93+'ДОУ АУ'!R93)</f>
        <v>0</v>
      </c>
      <c r="S93" s="33">
        <f>SUM('ДОУ БУ'!S93+'ДОУ АУ'!S93)</f>
        <v>0</v>
      </c>
      <c r="T93" s="33">
        <f>SUM('ДОУ БУ'!T93+'ДОУ АУ'!T93)</f>
        <v>0</v>
      </c>
    </row>
    <row r="94" spans="1:20" s="26" customFormat="1" ht="33" x14ac:dyDescent="0.25">
      <c r="A94" s="52" t="s">
        <v>96</v>
      </c>
      <c r="B94" s="28" t="s">
        <v>97</v>
      </c>
      <c r="C94" s="55">
        <v>225</v>
      </c>
      <c r="D94" s="33">
        <f t="shared" si="28"/>
        <v>75400</v>
      </c>
      <c r="E94" s="33">
        <f t="shared" si="29"/>
        <v>0</v>
      </c>
      <c r="F94" s="33"/>
      <c r="G94" s="33">
        <f>SUM('ДОУ БУ'!G94+'ДОУ АУ'!G94)</f>
        <v>75400</v>
      </c>
      <c r="H94" s="33">
        <f>SUM('ДОУ БУ'!H94+'ДОУ АУ'!H94)</f>
        <v>0</v>
      </c>
      <c r="I94" s="33">
        <f>SUM('ДОУ БУ'!I94+'ДОУ АУ'!I94)</f>
        <v>0</v>
      </c>
      <c r="J94" s="33">
        <f>SUM('ДОУ БУ'!J94+'ДОУ АУ'!J94)</f>
        <v>0</v>
      </c>
      <c r="K94" s="33">
        <f>SUM('ДОУ БУ'!K94+'ДОУ АУ'!K94)</f>
        <v>0</v>
      </c>
      <c r="L94" s="33">
        <f>SUM('ДОУ БУ'!L94+'ДОУ АУ'!L94)</f>
        <v>0</v>
      </c>
      <c r="M94" s="33">
        <f>SUM('ДОУ БУ'!M94+'ДОУ АУ'!M94)</f>
        <v>0</v>
      </c>
      <c r="N94" s="33">
        <f>SUM('ДОУ БУ'!N94+'ДОУ АУ'!N94)</f>
        <v>0</v>
      </c>
      <c r="O94" s="33">
        <f>SUM('ДОУ БУ'!O94+'ДОУ АУ'!O94)</f>
        <v>0</v>
      </c>
      <c r="P94" s="33">
        <f>SUM('ДОУ БУ'!P94+'ДОУ АУ'!P94)</f>
        <v>0</v>
      </c>
      <c r="Q94" s="33">
        <f>SUM('ДОУ БУ'!Q94+'ДОУ АУ'!Q94)</f>
        <v>0</v>
      </c>
      <c r="R94" s="33">
        <f>SUM('ДОУ БУ'!R94+'ДОУ АУ'!R94)</f>
        <v>0</v>
      </c>
      <c r="S94" s="33">
        <f>SUM('ДОУ БУ'!S94+'ДОУ АУ'!S94)</f>
        <v>0</v>
      </c>
      <c r="T94" s="33">
        <f>SUM('ДОУ БУ'!T94+'ДОУ АУ'!T94)</f>
        <v>0</v>
      </c>
    </row>
    <row r="95" spans="1:20" s="26" customFormat="1" ht="33" x14ac:dyDescent="0.25">
      <c r="A95" s="52" t="s">
        <v>96</v>
      </c>
      <c r="B95" s="28" t="s">
        <v>97</v>
      </c>
      <c r="C95" s="55">
        <v>226</v>
      </c>
      <c r="D95" s="33">
        <f t="shared" si="28"/>
        <v>648100</v>
      </c>
      <c r="E95" s="33">
        <f t="shared" si="29"/>
        <v>317565</v>
      </c>
      <c r="F95" s="33"/>
      <c r="G95" s="33">
        <f>SUM('ДОУ БУ'!G95+'ДОУ АУ'!G95)</f>
        <v>648100</v>
      </c>
      <c r="H95" s="33">
        <f>SUM('ДОУ БУ'!H95+'ДОУ АУ'!H95)</f>
        <v>317565</v>
      </c>
      <c r="I95" s="33">
        <f>SUM('ДОУ БУ'!I95+'ДОУ АУ'!I95)</f>
        <v>0</v>
      </c>
      <c r="J95" s="33">
        <f>SUM('ДОУ БУ'!J95+'ДОУ АУ'!J95)</f>
        <v>0</v>
      </c>
      <c r="K95" s="33">
        <f>SUM('ДОУ БУ'!K95+'ДОУ АУ'!K95)</f>
        <v>0</v>
      </c>
      <c r="L95" s="33">
        <f>SUM('ДОУ БУ'!L95+'ДОУ АУ'!L95)</f>
        <v>0</v>
      </c>
      <c r="M95" s="33">
        <f>SUM('ДОУ БУ'!M95+'ДОУ АУ'!M95)</f>
        <v>0</v>
      </c>
      <c r="N95" s="33">
        <f>SUM('ДОУ БУ'!N95+'ДОУ АУ'!N95)</f>
        <v>0</v>
      </c>
      <c r="O95" s="33">
        <f>SUM('ДОУ БУ'!O95+'ДОУ АУ'!O95)</f>
        <v>0</v>
      </c>
      <c r="P95" s="33">
        <f>SUM('ДОУ БУ'!P95+'ДОУ АУ'!P95)</f>
        <v>0</v>
      </c>
      <c r="Q95" s="33">
        <f>SUM('ДОУ БУ'!Q95+'ДОУ АУ'!Q95)</f>
        <v>0</v>
      </c>
      <c r="R95" s="33">
        <f>SUM('ДОУ БУ'!R95+'ДОУ АУ'!R95)</f>
        <v>0</v>
      </c>
      <c r="S95" s="33">
        <f>SUM('ДОУ БУ'!S95+'ДОУ АУ'!S95)</f>
        <v>0</v>
      </c>
      <c r="T95" s="33">
        <f>SUM('ДОУ БУ'!T95+'ДОУ АУ'!T95)</f>
        <v>0</v>
      </c>
    </row>
    <row r="96" spans="1:20" s="26" customFormat="1" ht="33" hidden="1" x14ac:dyDescent="0.25">
      <c r="A96" s="52" t="s">
        <v>96</v>
      </c>
      <c r="B96" s="28" t="s">
        <v>97</v>
      </c>
      <c r="C96" s="55">
        <v>340</v>
      </c>
      <c r="D96" s="33">
        <f t="shared" si="28"/>
        <v>0</v>
      </c>
      <c r="E96" s="33">
        <f t="shared" si="29"/>
        <v>0</v>
      </c>
      <c r="F96" s="33"/>
      <c r="G96" s="33">
        <f>SUM('ДОУ БУ'!G96+'ДОУ АУ'!G96)</f>
        <v>0</v>
      </c>
      <c r="H96" s="33"/>
      <c r="I96" s="33">
        <f>SUM('ДОУ БУ'!I96+'ДОУ АУ'!I96)</f>
        <v>0</v>
      </c>
      <c r="J96" s="33"/>
      <c r="K96" s="33">
        <f>SUM('ДОУ БУ'!K96+'ДОУ АУ'!K96)</f>
        <v>0</v>
      </c>
      <c r="L96" s="33"/>
      <c r="M96" s="33">
        <f>SUM('ДОУ БУ'!M96+'ДОУ АУ'!M96)</f>
        <v>0</v>
      </c>
      <c r="N96" s="33"/>
      <c r="O96" s="33">
        <f>SUM('ДОУ БУ'!O96+'ДОУ АУ'!O96)</f>
        <v>0</v>
      </c>
      <c r="P96" s="33"/>
      <c r="Q96" s="33"/>
      <c r="R96" s="33"/>
      <c r="S96" s="33">
        <f>SUM('ДОУ БУ'!S96+'ДОУ АУ'!S96)</f>
        <v>0</v>
      </c>
      <c r="T96" s="33">
        <f>SUM('ДОУ БУ'!T96+'ДОУ АУ'!T96)</f>
        <v>0</v>
      </c>
    </row>
    <row r="97" spans="1:20" s="26" customFormat="1" ht="16.5" hidden="1" x14ac:dyDescent="0.25">
      <c r="A97" s="52" t="s">
        <v>98</v>
      </c>
      <c r="B97" s="28" t="s">
        <v>99</v>
      </c>
      <c r="C97" s="55">
        <v>310</v>
      </c>
      <c r="D97" s="33">
        <f t="shared" si="28"/>
        <v>4266467</v>
      </c>
      <c r="E97" s="33">
        <f t="shared" si="29"/>
        <v>0</v>
      </c>
      <c r="F97" s="33"/>
      <c r="G97" s="33">
        <f>SUM('ДОУ БУ'!G97+'ДОУ АУ'!G97)</f>
        <v>4266467</v>
      </c>
      <c r="H97" s="33"/>
      <c r="I97" s="33">
        <f>SUM('ДОУ БУ'!I97+'ДОУ АУ'!I97)</f>
        <v>0</v>
      </c>
      <c r="J97" s="33"/>
      <c r="K97" s="33">
        <f>SUM('ДОУ БУ'!K97+'ДОУ АУ'!K97)</f>
        <v>0</v>
      </c>
      <c r="L97" s="33"/>
      <c r="M97" s="33">
        <f>SUM('ДОУ БУ'!M97+'ДОУ АУ'!M97)</f>
        <v>0</v>
      </c>
      <c r="N97" s="33"/>
      <c r="O97" s="33">
        <f>SUM('ДОУ БУ'!O97+'ДОУ АУ'!O97)</f>
        <v>0</v>
      </c>
      <c r="P97" s="33"/>
      <c r="Q97" s="33"/>
      <c r="R97" s="33"/>
      <c r="S97" s="33">
        <f>SUM('ДОУ БУ'!S97+'ДОУ АУ'!S97)</f>
        <v>0</v>
      </c>
      <c r="T97" s="33">
        <f>SUM('ДОУ БУ'!T97+'ДОУ АУ'!T97)</f>
        <v>0</v>
      </c>
    </row>
    <row r="98" spans="1:20" s="26" customFormat="1" ht="16.5" hidden="1" x14ac:dyDescent="0.25">
      <c r="A98" s="52" t="s">
        <v>98</v>
      </c>
      <c r="B98" s="28" t="s">
        <v>99</v>
      </c>
      <c r="C98" s="55">
        <v>340</v>
      </c>
      <c r="D98" s="33">
        <f t="shared" si="28"/>
        <v>0</v>
      </c>
      <c r="E98" s="33">
        <f t="shared" si="29"/>
        <v>0</v>
      </c>
      <c r="F98" s="33"/>
      <c r="G98" s="33">
        <f>SUM('ДОУ БУ'!G98+'ДОУ АУ'!G98)</f>
        <v>0</v>
      </c>
      <c r="H98" s="33"/>
      <c r="I98" s="33">
        <f>SUM('ДОУ БУ'!I98+'ДОУ АУ'!I98)</f>
        <v>0</v>
      </c>
      <c r="J98" s="33"/>
      <c r="K98" s="33">
        <f>SUM('ДОУ БУ'!K98+'ДОУ АУ'!K98)</f>
        <v>0</v>
      </c>
      <c r="L98" s="33"/>
      <c r="M98" s="33">
        <f>SUM('ДОУ БУ'!M98+'ДОУ АУ'!M98)</f>
        <v>0</v>
      </c>
      <c r="N98" s="33"/>
      <c r="O98" s="33">
        <f>SUM('ДОУ БУ'!O98+'ДОУ АУ'!O98)</f>
        <v>0</v>
      </c>
      <c r="P98" s="33"/>
      <c r="Q98" s="33"/>
      <c r="R98" s="33"/>
      <c r="S98" s="33">
        <f>SUM('ДОУ БУ'!S98+'ДОУ АУ'!S98)</f>
        <v>0</v>
      </c>
      <c r="T98" s="33">
        <f>SUM('ДОУ БУ'!T98+'ДОУ АУ'!T98)</f>
        <v>0</v>
      </c>
    </row>
    <row r="99" spans="1:20" s="18" customFormat="1" ht="17.25" x14ac:dyDescent="0.25">
      <c r="A99" s="61" t="s">
        <v>100</v>
      </c>
      <c r="B99" s="62" t="s">
        <v>101</v>
      </c>
      <c r="C99" s="49"/>
      <c r="D99" s="34">
        <f t="shared" ref="D99:T99" si="37">SUM(D100:D117)</f>
        <v>4678387</v>
      </c>
      <c r="E99" s="34">
        <f t="shared" si="37"/>
        <v>1995275</v>
      </c>
      <c r="F99" s="34"/>
      <c r="G99" s="34">
        <f t="shared" si="37"/>
        <v>4678387</v>
      </c>
      <c r="H99" s="34">
        <f t="shared" si="37"/>
        <v>1995275</v>
      </c>
      <c r="I99" s="34">
        <f t="shared" si="37"/>
        <v>0</v>
      </c>
      <c r="J99" s="34">
        <f t="shared" si="37"/>
        <v>0</v>
      </c>
      <c r="K99" s="34">
        <f t="shared" si="37"/>
        <v>0</v>
      </c>
      <c r="L99" s="34">
        <f t="shared" si="37"/>
        <v>0</v>
      </c>
      <c r="M99" s="34">
        <f t="shared" si="37"/>
        <v>0</v>
      </c>
      <c r="N99" s="34">
        <f t="shared" si="37"/>
        <v>0</v>
      </c>
      <c r="O99" s="34">
        <f t="shared" si="37"/>
        <v>0</v>
      </c>
      <c r="P99" s="34">
        <f t="shared" si="37"/>
        <v>0</v>
      </c>
      <c r="Q99" s="34">
        <f t="shared" si="37"/>
        <v>0</v>
      </c>
      <c r="R99" s="34">
        <f t="shared" si="37"/>
        <v>0</v>
      </c>
      <c r="S99" s="34">
        <f t="shared" si="37"/>
        <v>0</v>
      </c>
      <c r="T99" s="34">
        <f t="shared" si="37"/>
        <v>0</v>
      </c>
    </row>
    <row r="100" spans="1:20" s="27" customFormat="1" ht="33" hidden="1" x14ac:dyDescent="0.25">
      <c r="A100" s="63" t="s">
        <v>102</v>
      </c>
      <c r="B100" s="58" t="s">
        <v>103</v>
      </c>
      <c r="C100" s="51">
        <v>226</v>
      </c>
      <c r="D100" s="33">
        <f t="shared" si="28"/>
        <v>1995280</v>
      </c>
      <c r="E100" s="33">
        <f t="shared" si="29"/>
        <v>0</v>
      </c>
      <c r="F100" s="33"/>
      <c r="G100" s="33">
        <f>SUM('ДОУ БУ'!G100+'ДОУ АУ'!G100)</f>
        <v>1995280</v>
      </c>
      <c r="H100" s="33"/>
      <c r="I100" s="33">
        <f>SUM('ДОУ БУ'!I100+'ДОУ АУ'!I100)</f>
        <v>0</v>
      </c>
      <c r="J100" s="33"/>
      <c r="K100" s="33">
        <f>SUM('ДОУ БУ'!K100+'ДОУ АУ'!K100)</f>
        <v>0</v>
      </c>
      <c r="L100" s="33"/>
      <c r="M100" s="33">
        <f>SUM('ДОУ БУ'!M100+'ДОУ АУ'!M100)</f>
        <v>0</v>
      </c>
      <c r="N100" s="33"/>
      <c r="O100" s="33">
        <f>SUM('ДОУ БУ'!O100+'ДОУ АУ'!O100)</f>
        <v>0</v>
      </c>
      <c r="P100" s="33"/>
      <c r="Q100" s="33"/>
      <c r="R100" s="33"/>
      <c r="S100" s="33">
        <f>SUM('ДОУ БУ'!S100+'ДОУ АУ'!S100)</f>
        <v>0</v>
      </c>
      <c r="T100" s="33">
        <f>SUM('ДОУ БУ'!T100+'ДОУ АУ'!T100)</f>
        <v>0</v>
      </c>
    </row>
    <row r="101" spans="1:20" s="27" customFormat="1" ht="33" hidden="1" x14ac:dyDescent="0.25">
      <c r="A101" s="63" t="s">
        <v>102</v>
      </c>
      <c r="B101" s="58" t="s">
        <v>103</v>
      </c>
      <c r="C101" s="51">
        <v>310</v>
      </c>
      <c r="D101" s="33">
        <f t="shared" si="28"/>
        <v>0</v>
      </c>
      <c r="E101" s="33">
        <f t="shared" si="29"/>
        <v>0</v>
      </c>
      <c r="F101" s="33"/>
      <c r="G101" s="33">
        <f>SUM('ДОУ БУ'!G101+'ДОУ АУ'!G101)</f>
        <v>0</v>
      </c>
      <c r="H101" s="33"/>
      <c r="I101" s="33">
        <f>SUM('ДОУ БУ'!I101+'ДОУ АУ'!I101)</f>
        <v>0</v>
      </c>
      <c r="J101" s="33"/>
      <c r="K101" s="33">
        <f>SUM('ДОУ БУ'!K101+'ДОУ АУ'!K101)</f>
        <v>0</v>
      </c>
      <c r="L101" s="33"/>
      <c r="M101" s="33">
        <f>SUM('ДОУ БУ'!M101+'ДОУ АУ'!M101)</f>
        <v>0</v>
      </c>
      <c r="N101" s="33"/>
      <c r="O101" s="33">
        <f>SUM('ДОУ БУ'!O101+'ДОУ АУ'!O101)</f>
        <v>0</v>
      </c>
      <c r="P101" s="33"/>
      <c r="Q101" s="33"/>
      <c r="R101" s="33"/>
      <c r="S101" s="33">
        <f>SUM('ДОУ БУ'!S101+'ДОУ АУ'!S101)</f>
        <v>0</v>
      </c>
      <c r="T101" s="33">
        <f>SUM('ДОУ БУ'!T101+'ДОУ АУ'!T101)</f>
        <v>0</v>
      </c>
    </row>
    <row r="102" spans="1:20" s="27" customFormat="1" ht="16.5" hidden="1" x14ac:dyDescent="0.25">
      <c r="A102" s="63" t="s">
        <v>104</v>
      </c>
      <c r="B102" s="58" t="s">
        <v>105</v>
      </c>
      <c r="C102" s="51">
        <v>226</v>
      </c>
      <c r="D102" s="33">
        <f t="shared" si="28"/>
        <v>0</v>
      </c>
      <c r="E102" s="33">
        <f t="shared" si="29"/>
        <v>0</v>
      </c>
      <c r="F102" s="33"/>
      <c r="G102" s="33">
        <f>SUM('ДОУ БУ'!G102+'ДОУ АУ'!G102)</f>
        <v>0</v>
      </c>
      <c r="H102" s="33"/>
      <c r="I102" s="33">
        <f>SUM('ДОУ БУ'!I102+'ДОУ АУ'!I102)</f>
        <v>0</v>
      </c>
      <c r="J102" s="33"/>
      <c r="K102" s="33">
        <f>SUM('ДОУ БУ'!K102+'ДОУ АУ'!K102)</f>
        <v>0</v>
      </c>
      <c r="L102" s="33"/>
      <c r="M102" s="33">
        <f>SUM('ДОУ БУ'!M102+'ДОУ АУ'!M102)</f>
        <v>0</v>
      </c>
      <c r="N102" s="33"/>
      <c r="O102" s="33">
        <f>SUM('ДОУ БУ'!O102+'ДОУ АУ'!O102)</f>
        <v>0</v>
      </c>
      <c r="P102" s="33"/>
      <c r="Q102" s="33"/>
      <c r="R102" s="33"/>
      <c r="S102" s="33">
        <f>SUM('ДОУ БУ'!S102+'ДОУ АУ'!S102)</f>
        <v>0</v>
      </c>
      <c r="T102" s="33">
        <f>SUM('ДОУ БУ'!T102+'ДОУ АУ'!T102)</f>
        <v>0</v>
      </c>
    </row>
    <row r="103" spans="1:20" s="27" customFormat="1" ht="16.5" hidden="1" x14ac:dyDescent="0.25">
      <c r="A103" s="63" t="s">
        <v>104</v>
      </c>
      <c r="B103" s="58" t="s">
        <v>105</v>
      </c>
      <c r="C103" s="51">
        <v>310</v>
      </c>
      <c r="D103" s="33">
        <f t="shared" si="28"/>
        <v>0</v>
      </c>
      <c r="E103" s="33">
        <f t="shared" si="29"/>
        <v>0</v>
      </c>
      <c r="F103" s="33"/>
      <c r="G103" s="33">
        <f>SUM('ДОУ БУ'!G103+'ДОУ АУ'!G103)</f>
        <v>0</v>
      </c>
      <c r="H103" s="33"/>
      <c r="I103" s="33">
        <f>SUM('ДОУ БУ'!I103+'ДОУ АУ'!I103)</f>
        <v>0</v>
      </c>
      <c r="J103" s="33"/>
      <c r="K103" s="33">
        <f>SUM('ДОУ БУ'!K103+'ДОУ АУ'!K103)</f>
        <v>0</v>
      </c>
      <c r="L103" s="33"/>
      <c r="M103" s="33">
        <f>SUM('ДОУ БУ'!M103+'ДОУ АУ'!M103)</f>
        <v>0</v>
      </c>
      <c r="N103" s="33"/>
      <c r="O103" s="33">
        <f>SUM('ДОУ БУ'!O103+'ДОУ АУ'!O103)</f>
        <v>0</v>
      </c>
      <c r="P103" s="33"/>
      <c r="Q103" s="33"/>
      <c r="R103" s="33"/>
      <c r="S103" s="33">
        <f>SUM('ДОУ БУ'!S103+'ДОУ АУ'!S103)</f>
        <v>0</v>
      </c>
      <c r="T103" s="33">
        <f>SUM('ДОУ БУ'!T103+'ДОУ АУ'!T103)</f>
        <v>0</v>
      </c>
    </row>
    <row r="104" spans="1:20" s="27" customFormat="1" ht="33" hidden="1" x14ac:dyDescent="0.25">
      <c r="A104" s="63" t="s">
        <v>106</v>
      </c>
      <c r="B104" s="28" t="s">
        <v>107</v>
      </c>
      <c r="C104" s="51">
        <v>340</v>
      </c>
      <c r="D104" s="33">
        <f t="shared" si="28"/>
        <v>0</v>
      </c>
      <c r="E104" s="33">
        <f t="shared" si="29"/>
        <v>0</v>
      </c>
      <c r="F104" s="33"/>
      <c r="G104" s="33">
        <f>SUM('ДОУ БУ'!G104+'ДОУ АУ'!G104)</f>
        <v>0</v>
      </c>
      <c r="H104" s="33"/>
      <c r="I104" s="33">
        <f>SUM('ДОУ БУ'!I104+'ДОУ АУ'!I104)</f>
        <v>0</v>
      </c>
      <c r="J104" s="33"/>
      <c r="K104" s="33">
        <f>SUM('ДОУ БУ'!K104+'ДОУ АУ'!K104)</f>
        <v>0</v>
      </c>
      <c r="L104" s="33"/>
      <c r="M104" s="33">
        <f>SUM('ДОУ БУ'!M104+'ДОУ АУ'!M104)</f>
        <v>0</v>
      </c>
      <c r="N104" s="33"/>
      <c r="O104" s="33">
        <f>SUM('ДОУ БУ'!O104+'ДОУ АУ'!O104)</f>
        <v>0</v>
      </c>
      <c r="P104" s="33"/>
      <c r="Q104" s="33"/>
      <c r="R104" s="33"/>
      <c r="S104" s="33">
        <f>SUM('ДОУ БУ'!S104+'ДОУ АУ'!S104)</f>
        <v>0</v>
      </c>
      <c r="T104" s="33">
        <f>SUM('ДОУ БУ'!T104+'ДОУ АУ'!T104)</f>
        <v>0</v>
      </c>
    </row>
    <row r="105" spans="1:20" s="27" customFormat="1" ht="16.5" x14ac:dyDescent="0.25">
      <c r="A105" s="63" t="s">
        <v>108</v>
      </c>
      <c r="B105" s="58" t="s">
        <v>109</v>
      </c>
      <c r="C105" s="51">
        <v>226</v>
      </c>
      <c r="D105" s="33">
        <f t="shared" si="28"/>
        <v>1995277</v>
      </c>
      <c r="E105" s="33">
        <f t="shared" si="29"/>
        <v>999500</v>
      </c>
      <c r="F105" s="33"/>
      <c r="G105" s="33">
        <f>SUM('ДОУ БУ'!G105+'ДОУ АУ'!G105)</f>
        <v>1995277</v>
      </c>
      <c r="H105" s="33">
        <f>SUM('ДОУ БУ'!H105+'ДОУ АУ'!H105)</f>
        <v>999500</v>
      </c>
      <c r="I105" s="33">
        <f>SUM('ДОУ БУ'!I105+'ДОУ АУ'!I105)</f>
        <v>0</v>
      </c>
      <c r="J105" s="33">
        <f>SUM('ДОУ БУ'!J105+'ДОУ АУ'!J105)</f>
        <v>0</v>
      </c>
      <c r="K105" s="33">
        <f>SUM('ДОУ БУ'!K105+'ДОУ АУ'!K105)</f>
        <v>0</v>
      </c>
      <c r="L105" s="33">
        <f>SUM('ДОУ БУ'!L105+'ДОУ АУ'!L105)</f>
        <v>0</v>
      </c>
      <c r="M105" s="33">
        <f>SUM('ДОУ БУ'!M105+'ДОУ АУ'!M105)</f>
        <v>0</v>
      </c>
      <c r="N105" s="33">
        <f>SUM('ДОУ БУ'!N105+'ДОУ АУ'!N105)</f>
        <v>0</v>
      </c>
      <c r="O105" s="33">
        <f>SUM('ДОУ БУ'!O105+'ДОУ АУ'!O105)</f>
        <v>0</v>
      </c>
      <c r="P105" s="33">
        <f>SUM('ДОУ БУ'!P105+'ДОУ АУ'!P105)</f>
        <v>0</v>
      </c>
      <c r="Q105" s="33">
        <f>SUM('ДОУ БУ'!Q105+'ДОУ АУ'!Q105)</f>
        <v>0</v>
      </c>
      <c r="R105" s="33">
        <f>SUM('ДОУ БУ'!R105+'ДОУ АУ'!R105)</f>
        <v>0</v>
      </c>
      <c r="S105" s="33">
        <f>SUM('ДОУ БУ'!S105+'ДОУ АУ'!S105)</f>
        <v>0</v>
      </c>
      <c r="T105" s="33">
        <f>SUM('ДОУ БУ'!T105+'ДОУ АУ'!T105)</f>
        <v>0</v>
      </c>
    </row>
    <row r="106" spans="1:20" s="27" customFormat="1" ht="16.5" hidden="1" x14ac:dyDescent="0.25">
      <c r="A106" s="63" t="s">
        <v>108</v>
      </c>
      <c r="B106" s="58" t="s">
        <v>109</v>
      </c>
      <c r="C106" s="51">
        <v>310</v>
      </c>
      <c r="D106" s="33">
        <f t="shared" si="28"/>
        <v>0</v>
      </c>
      <c r="E106" s="33">
        <f t="shared" si="29"/>
        <v>0</v>
      </c>
      <c r="F106" s="33"/>
      <c r="G106" s="33">
        <f>SUM('ДОУ БУ'!G106+'ДОУ АУ'!G106)</f>
        <v>0</v>
      </c>
      <c r="H106" s="33">
        <f>SUM('ДОУ БУ'!H106+'ДОУ АУ'!H106)</f>
        <v>0</v>
      </c>
      <c r="I106" s="33">
        <f>SUM('ДОУ БУ'!I106+'ДОУ АУ'!I106)</f>
        <v>0</v>
      </c>
      <c r="J106" s="33">
        <f>SUM('ДОУ БУ'!J106+'ДОУ АУ'!J106)</f>
        <v>0</v>
      </c>
      <c r="K106" s="33">
        <f>SUM('ДОУ БУ'!K106+'ДОУ АУ'!K106)</f>
        <v>0</v>
      </c>
      <c r="L106" s="33">
        <f>SUM('ДОУ БУ'!L106+'ДОУ АУ'!L106)</f>
        <v>0</v>
      </c>
      <c r="M106" s="33">
        <f>SUM('ДОУ БУ'!M106+'ДОУ АУ'!M106)</f>
        <v>0</v>
      </c>
      <c r="N106" s="33">
        <f>SUM('ДОУ БУ'!N106+'ДОУ АУ'!N106)</f>
        <v>0</v>
      </c>
      <c r="O106" s="33">
        <f>SUM('ДОУ БУ'!O106+'ДОУ АУ'!O106)</f>
        <v>0</v>
      </c>
      <c r="P106" s="33">
        <f>SUM('ДОУ БУ'!P106+'ДОУ АУ'!P106)</f>
        <v>0</v>
      </c>
      <c r="Q106" s="33">
        <f>SUM('ДОУ БУ'!Q106+'ДОУ АУ'!Q106)</f>
        <v>0</v>
      </c>
      <c r="R106" s="33">
        <f>SUM('ДОУ БУ'!R106+'ДОУ АУ'!R106)</f>
        <v>0</v>
      </c>
      <c r="S106" s="33">
        <f>SUM('ДОУ БУ'!S106+'ДОУ АУ'!S106)</f>
        <v>0</v>
      </c>
      <c r="T106" s="33">
        <f>SUM('ДОУ БУ'!T106+'ДОУ АУ'!T106)</f>
        <v>0</v>
      </c>
    </row>
    <row r="107" spans="1:20" s="27" customFormat="1" ht="16.5" x14ac:dyDescent="0.25">
      <c r="A107" s="63" t="s">
        <v>110</v>
      </c>
      <c r="B107" s="58" t="s">
        <v>111</v>
      </c>
      <c r="C107" s="51">
        <v>226</v>
      </c>
      <c r="D107" s="33">
        <f t="shared" si="28"/>
        <v>50000</v>
      </c>
      <c r="E107" s="33">
        <f t="shared" si="29"/>
        <v>0</v>
      </c>
      <c r="F107" s="33"/>
      <c r="G107" s="33">
        <f>SUM('ДОУ БУ'!G107+'ДОУ АУ'!G107)</f>
        <v>50000</v>
      </c>
      <c r="H107" s="33">
        <f>SUM('ДОУ БУ'!H107+'ДОУ АУ'!H107)</f>
        <v>0</v>
      </c>
      <c r="I107" s="33">
        <f>SUM('ДОУ БУ'!I107+'ДОУ АУ'!I107)</f>
        <v>0</v>
      </c>
      <c r="J107" s="33">
        <f>SUM('ДОУ БУ'!J107+'ДОУ АУ'!J107)</f>
        <v>0</v>
      </c>
      <c r="K107" s="33">
        <f>SUM('ДОУ БУ'!K107+'ДОУ АУ'!K107)</f>
        <v>0</v>
      </c>
      <c r="L107" s="33">
        <f>SUM('ДОУ БУ'!L107+'ДОУ АУ'!L107)</f>
        <v>0</v>
      </c>
      <c r="M107" s="33">
        <f>SUM('ДОУ БУ'!M107+'ДОУ АУ'!M107)</f>
        <v>0</v>
      </c>
      <c r="N107" s="33">
        <f>SUM('ДОУ БУ'!N107+'ДОУ АУ'!N107)</f>
        <v>0</v>
      </c>
      <c r="O107" s="33">
        <f>SUM('ДОУ БУ'!O107+'ДОУ АУ'!O107)</f>
        <v>0</v>
      </c>
      <c r="P107" s="33">
        <f>SUM('ДОУ БУ'!P107+'ДОУ АУ'!P107)</f>
        <v>0</v>
      </c>
      <c r="Q107" s="33">
        <f>SUM('ДОУ БУ'!Q107+'ДОУ АУ'!Q107)</f>
        <v>0</v>
      </c>
      <c r="R107" s="33">
        <f>SUM('ДОУ БУ'!R107+'ДОУ АУ'!R107)</f>
        <v>0</v>
      </c>
      <c r="S107" s="33">
        <f>SUM('ДОУ БУ'!S107+'ДОУ АУ'!S107)</f>
        <v>0</v>
      </c>
      <c r="T107" s="33">
        <f>SUM('ДОУ БУ'!T107+'ДОУ АУ'!T107)</f>
        <v>0</v>
      </c>
    </row>
    <row r="108" spans="1:20" s="27" customFormat="1" ht="16.5" x14ac:dyDescent="0.25">
      <c r="A108" s="63" t="s">
        <v>112</v>
      </c>
      <c r="B108" s="58" t="s">
        <v>113</v>
      </c>
      <c r="C108" s="51">
        <v>226</v>
      </c>
      <c r="D108" s="33">
        <f t="shared" si="28"/>
        <v>30000</v>
      </c>
      <c r="E108" s="33">
        <f t="shared" si="29"/>
        <v>995775</v>
      </c>
      <c r="F108" s="33"/>
      <c r="G108" s="33">
        <f>SUM('ДОУ БУ'!G108+'ДОУ АУ'!G108)</f>
        <v>30000</v>
      </c>
      <c r="H108" s="33">
        <f>SUM('ДОУ БУ'!H108+'ДОУ АУ'!H108)</f>
        <v>995775</v>
      </c>
      <c r="I108" s="33">
        <f>SUM('ДОУ БУ'!I108+'ДОУ АУ'!I108)</f>
        <v>0</v>
      </c>
      <c r="J108" s="33">
        <f>SUM('ДОУ БУ'!J108+'ДОУ АУ'!J108)</f>
        <v>0</v>
      </c>
      <c r="K108" s="33">
        <f>SUM('ДОУ БУ'!K108+'ДОУ АУ'!K108)</f>
        <v>0</v>
      </c>
      <c r="L108" s="33">
        <f>SUM('ДОУ БУ'!L108+'ДОУ АУ'!L108)</f>
        <v>0</v>
      </c>
      <c r="M108" s="33">
        <f>SUM('ДОУ БУ'!M108+'ДОУ АУ'!M108)</f>
        <v>0</v>
      </c>
      <c r="N108" s="33">
        <f>SUM('ДОУ БУ'!N108+'ДОУ АУ'!N108)</f>
        <v>0</v>
      </c>
      <c r="O108" s="33">
        <f>SUM('ДОУ БУ'!O108+'ДОУ АУ'!O108)</f>
        <v>0</v>
      </c>
      <c r="P108" s="33">
        <f>SUM('ДОУ БУ'!P108+'ДОУ АУ'!P108)</f>
        <v>0</v>
      </c>
      <c r="Q108" s="33">
        <f>SUM('ДОУ БУ'!Q108+'ДОУ АУ'!Q108)</f>
        <v>0</v>
      </c>
      <c r="R108" s="33">
        <f>SUM('ДОУ БУ'!R108+'ДОУ АУ'!R108)</f>
        <v>0</v>
      </c>
      <c r="S108" s="33">
        <f>SUM('ДОУ БУ'!S108+'ДОУ АУ'!S108)</f>
        <v>0</v>
      </c>
      <c r="T108" s="33">
        <f>SUM('ДОУ БУ'!T108+'ДОУ АУ'!T108)</f>
        <v>0</v>
      </c>
    </row>
    <row r="109" spans="1:20" s="27" customFormat="1" ht="33" hidden="1" x14ac:dyDescent="0.25">
      <c r="A109" s="63" t="s">
        <v>114</v>
      </c>
      <c r="B109" s="58" t="s">
        <v>115</v>
      </c>
      <c r="C109" s="51">
        <v>225</v>
      </c>
      <c r="D109" s="33">
        <f t="shared" si="28"/>
        <v>0</v>
      </c>
      <c r="E109" s="33">
        <f t="shared" si="29"/>
        <v>0</v>
      </c>
      <c r="F109" s="33"/>
      <c r="G109" s="33">
        <f>SUM('ДОУ БУ'!G109+'ДОУ АУ'!G109)</f>
        <v>0</v>
      </c>
      <c r="H109" s="33">
        <f>SUM('ДОУ БУ'!H109+'ДОУ АУ'!H109)</f>
        <v>0</v>
      </c>
      <c r="I109" s="33">
        <f>SUM('ДОУ БУ'!I109+'ДОУ АУ'!I109)</f>
        <v>0</v>
      </c>
      <c r="J109" s="33">
        <f>SUM('ДОУ БУ'!J109+'ДОУ АУ'!J109)</f>
        <v>0</v>
      </c>
      <c r="K109" s="33">
        <f>SUM('ДОУ БУ'!K109+'ДОУ АУ'!K109)</f>
        <v>0</v>
      </c>
      <c r="L109" s="33">
        <f>SUM('ДОУ БУ'!L109+'ДОУ АУ'!L109)</f>
        <v>0</v>
      </c>
      <c r="M109" s="33">
        <f>SUM('ДОУ БУ'!M109+'ДОУ АУ'!M109)</f>
        <v>0</v>
      </c>
      <c r="N109" s="33">
        <f>SUM('ДОУ БУ'!N109+'ДОУ АУ'!N109)</f>
        <v>0</v>
      </c>
      <c r="O109" s="33">
        <f>SUM('ДОУ БУ'!O109+'ДОУ АУ'!O109)</f>
        <v>0</v>
      </c>
      <c r="P109" s="33">
        <f>SUM('ДОУ БУ'!P109+'ДОУ АУ'!P109)</f>
        <v>0</v>
      </c>
      <c r="Q109" s="33">
        <f>SUM('ДОУ БУ'!Q109+'ДОУ АУ'!Q109)</f>
        <v>0</v>
      </c>
      <c r="R109" s="33">
        <f>SUM('ДОУ БУ'!R109+'ДОУ АУ'!R109)</f>
        <v>0</v>
      </c>
      <c r="S109" s="33">
        <f>SUM('ДОУ БУ'!S109+'ДОУ АУ'!S109)</f>
        <v>0</v>
      </c>
      <c r="T109" s="33">
        <f>SUM('ДОУ БУ'!T109+'ДОУ АУ'!T109)</f>
        <v>0</v>
      </c>
    </row>
    <row r="110" spans="1:20" s="27" customFormat="1" ht="16.5" x14ac:dyDescent="0.25">
      <c r="A110" s="63" t="s">
        <v>116</v>
      </c>
      <c r="B110" s="58" t="s">
        <v>117</v>
      </c>
      <c r="C110" s="51">
        <v>225</v>
      </c>
      <c r="D110" s="33">
        <f t="shared" si="28"/>
        <v>577830</v>
      </c>
      <c r="E110" s="33">
        <f t="shared" si="29"/>
        <v>0</v>
      </c>
      <c r="F110" s="33"/>
      <c r="G110" s="33">
        <f>SUM('ДОУ БУ'!G110+'ДОУ АУ'!G110)</f>
        <v>577830</v>
      </c>
      <c r="H110" s="33">
        <f>SUM('ДОУ БУ'!H110+'ДОУ АУ'!H110)</f>
        <v>0</v>
      </c>
      <c r="I110" s="33">
        <f>SUM('ДОУ БУ'!I110+'ДОУ АУ'!I110)</f>
        <v>0</v>
      </c>
      <c r="J110" s="33">
        <f>SUM('ДОУ БУ'!J110+'ДОУ АУ'!J110)</f>
        <v>0</v>
      </c>
      <c r="K110" s="33">
        <f>SUM('ДОУ БУ'!K110+'ДОУ АУ'!K110)</f>
        <v>0</v>
      </c>
      <c r="L110" s="33">
        <f>SUM('ДОУ БУ'!L110+'ДОУ АУ'!L110)</f>
        <v>0</v>
      </c>
      <c r="M110" s="33">
        <f>SUM('ДОУ БУ'!M110+'ДОУ АУ'!M110)</f>
        <v>0</v>
      </c>
      <c r="N110" s="33">
        <f>SUM('ДОУ БУ'!N110+'ДОУ АУ'!N110)</f>
        <v>0</v>
      </c>
      <c r="O110" s="33">
        <f>SUM('ДОУ БУ'!O110+'ДОУ АУ'!O110)</f>
        <v>0</v>
      </c>
      <c r="P110" s="33">
        <f>SUM('ДОУ БУ'!P110+'ДОУ АУ'!P110)</f>
        <v>0</v>
      </c>
      <c r="Q110" s="33">
        <f>SUM('ДОУ БУ'!Q110+'ДОУ АУ'!Q110)</f>
        <v>0</v>
      </c>
      <c r="R110" s="33">
        <f>SUM('ДОУ БУ'!R110+'ДОУ АУ'!R110)</f>
        <v>0</v>
      </c>
      <c r="S110" s="33">
        <f>SUM('ДОУ БУ'!S110+'ДОУ АУ'!S110)</f>
        <v>0</v>
      </c>
      <c r="T110" s="33">
        <f>SUM('ДОУ БУ'!T110+'ДОУ АУ'!T110)</f>
        <v>0</v>
      </c>
    </row>
    <row r="111" spans="1:20" s="27" customFormat="1" ht="16.5" x14ac:dyDescent="0.25">
      <c r="A111" s="63" t="s">
        <v>118</v>
      </c>
      <c r="B111" s="58" t="s">
        <v>119</v>
      </c>
      <c r="C111" s="51">
        <v>226</v>
      </c>
      <c r="D111" s="33">
        <f t="shared" si="28"/>
        <v>30000</v>
      </c>
      <c r="E111" s="33">
        <f t="shared" si="29"/>
        <v>0</v>
      </c>
      <c r="F111" s="33"/>
      <c r="G111" s="33">
        <f>SUM('ДОУ БУ'!G111+'ДОУ АУ'!G111)</f>
        <v>30000</v>
      </c>
      <c r="H111" s="33">
        <f>SUM('ДОУ БУ'!H111+'ДОУ АУ'!H111)</f>
        <v>0</v>
      </c>
      <c r="I111" s="33">
        <f>SUM('ДОУ БУ'!I111+'ДОУ АУ'!I111)</f>
        <v>0</v>
      </c>
      <c r="J111" s="33">
        <f>SUM('ДОУ БУ'!J111+'ДОУ АУ'!J111)</f>
        <v>0</v>
      </c>
      <c r="K111" s="33">
        <f>SUM('ДОУ БУ'!K111+'ДОУ АУ'!K111)</f>
        <v>0</v>
      </c>
      <c r="L111" s="33">
        <f>SUM('ДОУ БУ'!L111+'ДОУ АУ'!L111)</f>
        <v>0</v>
      </c>
      <c r="M111" s="33">
        <f>SUM('ДОУ БУ'!M111+'ДОУ АУ'!M111)</f>
        <v>0</v>
      </c>
      <c r="N111" s="33">
        <f>SUM('ДОУ БУ'!N111+'ДОУ АУ'!N111)</f>
        <v>0</v>
      </c>
      <c r="O111" s="33">
        <f>SUM('ДОУ БУ'!O111+'ДОУ АУ'!O111)</f>
        <v>0</v>
      </c>
      <c r="P111" s="33">
        <f>SUM('ДОУ БУ'!P111+'ДОУ АУ'!P111)</f>
        <v>0</v>
      </c>
      <c r="Q111" s="33">
        <f>SUM('ДОУ БУ'!Q111+'ДОУ АУ'!Q111)</f>
        <v>0</v>
      </c>
      <c r="R111" s="33">
        <f>SUM('ДОУ БУ'!R111+'ДОУ АУ'!R111)</f>
        <v>0</v>
      </c>
      <c r="S111" s="33">
        <f>SUM('ДОУ БУ'!S111+'ДОУ АУ'!S111)</f>
        <v>0</v>
      </c>
      <c r="T111" s="33">
        <f>SUM('ДОУ БУ'!T111+'ДОУ АУ'!T111)</f>
        <v>0</v>
      </c>
    </row>
    <row r="112" spans="1:20" s="27" customFormat="1" ht="16.5" hidden="1" x14ac:dyDescent="0.25">
      <c r="A112" s="63" t="s">
        <v>118</v>
      </c>
      <c r="B112" s="58" t="s">
        <v>119</v>
      </c>
      <c r="C112" s="51">
        <v>340</v>
      </c>
      <c r="D112" s="33">
        <f t="shared" si="28"/>
        <v>0</v>
      </c>
      <c r="E112" s="33">
        <f t="shared" si="29"/>
        <v>0</v>
      </c>
      <c r="F112" s="33"/>
      <c r="G112" s="33">
        <f>SUM('ДОУ БУ'!G112+'ДОУ АУ'!G112)</f>
        <v>0</v>
      </c>
      <c r="H112" s="33"/>
      <c r="I112" s="33">
        <f>SUM('ДОУ БУ'!I112+'ДОУ АУ'!I112)</f>
        <v>0</v>
      </c>
      <c r="J112" s="33"/>
      <c r="K112" s="33">
        <f>SUM('ДОУ БУ'!K112+'ДОУ АУ'!K112)</f>
        <v>0</v>
      </c>
      <c r="L112" s="33"/>
      <c r="M112" s="33">
        <f>SUM('ДОУ БУ'!M112+'ДОУ АУ'!M112)</f>
        <v>0</v>
      </c>
      <c r="N112" s="33"/>
      <c r="O112" s="33">
        <f>SUM('ДОУ БУ'!O112+'ДОУ АУ'!O112)</f>
        <v>0</v>
      </c>
      <c r="P112" s="33"/>
      <c r="Q112" s="33"/>
      <c r="R112" s="33"/>
      <c r="S112" s="33">
        <f>SUM('ДОУ БУ'!S112+'ДОУ АУ'!S112)</f>
        <v>0</v>
      </c>
      <c r="T112" s="33">
        <f>SUM('ДОУ БУ'!T112+'ДОУ АУ'!T112)</f>
        <v>0</v>
      </c>
    </row>
    <row r="113" spans="1:20" s="27" customFormat="1" ht="16.5" hidden="1" x14ac:dyDescent="0.25">
      <c r="A113" s="63" t="s">
        <v>120</v>
      </c>
      <c r="B113" s="58" t="s">
        <v>121</v>
      </c>
      <c r="C113" s="51">
        <v>225</v>
      </c>
      <c r="D113" s="33">
        <f t="shared" si="28"/>
        <v>0</v>
      </c>
      <c r="E113" s="33">
        <f t="shared" si="29"/>
        <v>0</v>
      </c>
      <c r="F113" s="33"/>
      <c r="G113" s="33">
        <f>SUM('ДОУ БУ'!G113+'ДОУ АУ'!G113)</f>
        <v>0</v>
      </c>
      <c r="H113" s="33"/>
      <c r="I113" s="33">
        <f>SUM('ДОУ БУ'!I113+'ДОУ АУ'!I113)</f>
        <v>0</v>
      </c>
      <c r="J113" s="33"/>
      <c r="K113" s="33">
        <f>SUM('ДОУ БУ'!K113+'ДОУ АУ'!K113)</f>
        <v>0</v>
      </c>
      <c r="L113" s="33"/>
      <c r="M113" s="33">
        <f>SUM('ДОУ БУ'!M113+'ДОУ АУ'!M113)</f>
        <v>0</v>
      </c>
      <c r="N113" s="33"/>
      <c r="O113" s="33">
        <f>SUM('ДОУ БУ'!O113+'ДОУ АУ'!O113)</f>
        <v>0</v>
      </c>
      <c r="P113" s="33"/>
      <c r="Q113" s="33"/>
      <c r="R113" s="33"/>
      <c r="S113" s="33">
        <f>SUM('ДОУ БУ'!S113+'ДОУ АУ'!S113)</f>
        <v>0</v>
      </c>
      <c r="T113" s="33">
        <f>SUM('ДОУ БУ'!T113+'ДОУ АУ'!T113)</f>
        <v>0</v>
      </c>
    </row>
    <row r="114" spans="1:20" s="27" customFormat="1" ht="33" hidden="1" x14ac:dyDescent="0.25">
      <c r="A114" s="63" t="s">
        <v>122</v>
      </c>
      <c r="B114" s="58" t="s">
        <v>123</v>
      </c>
      <c r="C114" s="51">
        <v>225</v>
      </c>
      <c r="D114" s="33">
        <f t="shared" si="28"/>
        <v>0</v>
      </c>
      <c r="E114" s="33">
        <f t="shared" si="29"/>
        <v>0</v>
      </c>
      <c r="F114" s="33"/>
      <c r="G114" s="33">
        <f>SUM('ДОУ БУ'!G114+'ДОУ АУ'!G114)</f>
        <v>0</v>
      </c>
      <c r="H114" s="33"/>
      <c r="I114" s="33">
        <f>SUM('ДОУ БУ'!I114+'ДОУ АУ'!I114)</f>
        <v>0</v>
      </c>
      <c r="J114" s="33"/>
      <c r="K114" s="33">
        <f>SUM('ДОУ БУ'!K114+'ДОУ АУ'!K114)</f>
        <v>0</v>
      </c>
      <c r="L114" s="33"/>
      <c r="M114" s="33">
        <f>SUM('ДОУ БУ'!M114+'ДОУ АУ'!M114)</f>
        <v>0</v>
      </c>
      <c r="N114" s="33"/>
      <c r="O114" s="33">
        <f>SUM('ДОУ БУ'!O114+'ДОУ АУ'!O114)</f>
        <v>0</v>
      </c>
      <c r="P114" s="33"/>
      <c r="Q114" s="33"/>
      <c r="R114" s="33"/>
      <c r="S114" s="33">
        <f>SUM('ДОУ БУ'!S114+'ДОУ АУ'!S114)</f>
        <v>0</v>
      </c>
      <c r="T114" s="33">
        <f>SUM('ДОУ БУ'!T114+'ДОУ АУ'!T114)</f>
        <v>0</v>
      </c>
    </row>
    <row r="115" spans="1:20" s="27" customFormat="1" ht="33" hidden="1" x14ac:dyDescent="0.25">
      <c r="A115" s="63" t="s">
        <v>122</v>
      </c>
      <c r="B115" s="58" t="s">
        <v>123</v>
      </c>
      <c r="C115" s="51">
        <v>310</v>
      </c>
      <c r="D115" s="33">
        <f t="shared" si="28"/>
        <v>0</v>
      </c>
      <c r="E115" s="33">
        <f t="shared" si="29"/>
        <v>0</v>
      </c>
      <c r="F115" s="33"/>
      <c r="G115" s="33">
        <f>SUM('ДОУ БУ'!G115+'ДОУ АУ'!G115)</f>
        <v>0</v>
      </c>
      <c r="H115" s="33"/>
      <c r="I115" s="33">
        <f>SUM('ДОУ БУ'!I115+'ДОУ АУ'!I115)</f>
        <v>0</v>
      </c>
      <c r="J115" s="33"/>
      <c r="K115" s="33">
        <f>SUM('ДОУ БУ'!K115+'ДОУ АУ'!K115)</f>
        <v>0</v>
      </c>
      <c r="L115" s="33"/>
      <c r="M115" s="33">
        <f>SUM('ДОУ БУ'!M115+'ДОУ АУ'!M115)</f>
        <v>0</v>
      </c>
      <c r="N115" s="33"/>
      <c r="O115" s="33">
        <f>SUM('ДОУ БУ'!O115+'ДОУ АУ'!O115)</f>
        <v>0</v>
      </c>
      <c r="P115" s="33"/>
      <c r="Q115" s="33"/>
      <c r="R115" s="33"/>
      <c r="S115" s="33">
        <f>SUM('ДОУ БУ'!S115+'ДОУ АУ'!S115)</f>
        <v>0</v>
      </c>
      <c r="T115" s="33">
        <f>SUM('ДОУ БУ'!T115+'ДОУ АУ'!T115)</f>
        <v>0</v>
      </c>
    </row>
    <row r="116" spans="1:20" s="27" customFormat="1" ht="16.5" hidden="1" x14ac:dyDescent="0.25">
      <c r="A116" s="63" t="s">
        <v>124</v>
      </c>
      <c r="B116" s="58" t="s">
        <v>125</v>
      </c>
      <c r="C116" s="51">
        <v>225</v>
      </c>
      <c r="D116" s="33">
        <f t="shared" si="28"/>
        <v>0</v>
      </c>
      <c r="E116" s="33">
        <f t="shared" si="29"/>
        <v>0</v>
      </c>
      <c r="F116" s="33"/>
      <c r="G116" s="33">
        <f>SUM('ДОУ БУ'!G116+'ДОУ АУ'!G116)</f>
        <v>0</v>
      </c>
      <c r="H116" s="33"/>
      <c r="I116" s="33">
        <f>SUM('ДОУ БУ'!I116+'ДОУ АУ'!I116)</f>
        <v>0</v>
      </c>
      <c r="J116" s="33"/>
      <c r="K116" s="33">
        <f>SUM('ДОУ БУ'!K116+'ДОУ АУ'!K116)</f>
        <v>0</v>
      </c>
      <c r="L116" s="33"/>
      <c r="M116" s="33">
        <f>SUM('ДОУ БУ'!M116+'ДОУ АУ'!M116)</f>
        <v>0</v>
      </c>
      <c r="N116" s="33"/>
      <c r="O116" s="33">
        <f>SUM('ДОУ БУ'!O116+'ДОУ АУ'!O116)</f>
        <v>0</v>
      </c>
      <c r="P116" s="33"/>
      <c r="Q116" s="33"/>
      <c r="R116" s="33"/>
      <c r="S116" s="33">
        <f>SUM('ДОУ БУ'!S116+'ДОУ АУ'!S116)</f>
        <v>0</v>
      </c>
      <c r="T116" s="33">
        <f>SUM('ДОУ БУ'!T116+'ДОУ АУ'!T116)</f>
        <v>0</v>
      </c>
    </row>
    <row r="117" spans="1:20" s="29" customFormat="1" ht="16.5" hidden="1" x14ac:dyDescent="0.25">
      <c r="A117" s="63" t="s">
        <v>126</v>
      </c>
      <c r="B117" s="28" t="s">
        <v>127</v>
      </c>
      <c r="C117" s="51">
        <v>226</v>
      </c>
      <c r="D117" s="33">
        <f t="shared" si="28"/>
        <v>0</v>
      </c>
      <c r="E117" s="33">
        <f t="shared" si="29"/>
        <v>0</v>
      </c>
      <c r="F117" s="33"/>
      <c r="G117" s="33">
        <f>SUM('ДОУ БУ'!G117+'ДОУ АУ'!G117)</f>
        <v>0</v>
      </c>
      <c r="H117" s="33"/>
      <c r="I117" s="33">
        <f>SUM('ДОУ БУ'!I117+'ДОУ АУ'!I117)</f>
        <v>0</v>
      </c>
      <c r="J117" s="33"/>
      <c r="K117" s="33">
        <f>SUM('ДОУ БУ'!K117+'ДОУ АУ'!K117)</f>
        <v>0</v>
      </c>
      <c r="L117" s="33"/>
      <c r="M117" s="33">
        <f>SUM('ДОУ БУ'!M117+'ДОУ АУ'!M117)</f>
        <v>0</v>
      </c>
      <c r="N117" s="33"/>
      <c r="O117" s="33">
        <f>SUM('ДОУ БУ'!O117+'ДОУ АУ'!O117)</f>
        <v>0</v>
      </c>
      <c r="P117" s="33"/>
      <c r="Q117" s="33"/>
      <c r="R117" s="33"/>
      <c r="S117" s="33">
        <f>SUM('ДОУ БУ'!S117+'ДОУ АУ'!S117)</f>
        <v>0</v>
      </c>
      <c r="T117" s="33">
        <f>SUM('ДОУ БУ'!T117+'ДОУ АУ'!T117)</f>
        <v>0</v>
      </c>
    </row>
    <row r="118" spans="1:20" s="18" customFormat="1" ht="17.25" x14ac:dyDescent="0.25">
      <c r="A118" s="61" t="s">
        <v>128</v>
      </c>
      <c r="B118" s="62" t="s">
        <v>129</v>
      </c>
      <c r="C118" s="49"/>
      <c r="D118" s="34">
        <f t="shared" ref="D118:T118" si="38">SUM(D119:D122)</f>
        <v>0</v>
      </c>
      <c r="E118" s="34">
        <f t="shared" si="38"/>
        <v>0</v>
      </c>
      <c r="F118" s="34"/>
      <c r="G118" s="34">
        <f t="shared" si="38"/>
        <v>0</v>
      </c>
      <c r="H118" s="34">
        <f t="shared" si="38"/>
        <v>0</v>
      </c>
      <c r="I118" s="34">
        <f t="shared" si="38"/>
        <v>0</v>
      </c>
      <c r="J118" s="34">
        <f t="shared" si="38"/>
        <v>0</v>
      </c>
      <c r="K118" s="34">
        <f t="shared" si="38"/>
        <v>0</v>
      </c>
      <c r="L118" s="34">
        <f t="shared" si="38"/>
        <v>0</v>
      </c>
      <c r="M118" s="34">
        <f t="shared" si="38"/>
        <v>0</v>
      </c>
      <c r="N118" s="34">
        <f t="shared" si="38"/>
        <v>0</v>
      </c>
      <c r="O118" s="34">
        <f t="shared" si="38"/>
        <v>0</v>
      </c>
      <c r="P118" s="34">
        <f t="shared" si="38"/>
        <v>0</v>
      </c>
      <c r="Q118" s="34">
        <f t="shared" si="38"/>
        <v>0</v>
      </c>
      <c r="R118" s="34">
        <f t="shared" si="38"/>
        <v>0</v>
      </c>
      <c r="S118" s="34">
        <f t="shared" si="38"/>
        <v>0</v>
      </c>
      <c r="T118" s="34">
        <f t="shared" si="38"/>
        <v>0</v>
      </c>
    </row>
    <row r="119" spans="1:20" s="27" customFormat="1" ht="16.5" hidden="1" x14ac:dyDescent="0.25">
      <c r="A119" s="63" t="s">
        <v>130</v>
      </c>
      <c r="B119" s="58" t="s">
        <v>131</v>
      </c>
      <c r="C119" s="51">
        <v>310</v>
      </c>
      <c r="D119" s="33">
        <f t="shared" si="28"/>
        <v>0</v>
      </c>
      <c r="E119" s="33">
        <f t="shared" si="29"/>
        <v>0</v>
      </c>
      <c r="F119" s="33"/>
      <c r="G119" s="33">
        <f>SUM('ДОУ БУ'!G119+'ДОУ АУ'!G119)</f>
        <v>0</v>
      </c>
      <c r="H119" s="33"/>
      <c r="I119" s="33">
        <f>SUM('ДОУ БУ'!I119+'ДОУ АУ'!I119)</f>
        <v>0</v>
      </c>
      <c r="J119" s="33"/>
      <c r="K119" s="33">
        <f>SUM('ДОУ БУ'!K119+'ДОУ АУ'!K119)</f>
        <v>0</v>
      </c>
      <c r="L119" s="33"/>
      <c r="M119" s="33">
        <f>SUM('ДОУ БУ'!M119+'ДОУ АУ'!M119)</f>
        <v>0</v>
      </c>
      <c r="N119" s="33"/>
      <c r="O119" s="33">
        <f>SUM('ДОУ БУ'!O119+'ДОУ АУ'!O119)</f>
        <v>0</v>
      </c>
      <c r="P119" s="33"/>
      <c r="Q119" s="33"/>
      <c r="R119" s="33"/>
      <c r="S119" s="33">
        <f>SUM('ДОУ БУ'!S119+'ДОУ АУ'!S119)</f>
        <v>0</v>
      </c>
      <c r="T119" s="33">
        <f>SUM('ДОУ БУ'!T119+'ДОУ АУ'!T119)</f>
        <v>0</v>
      </c>
    </row>
    <row r="120" spans="1:20" s="27" customFormat="1" ht="33" x14ac:dyDescent="0.25">
      <c r="A120" s="63" t="s">
        <v>132</v>
      </c>
      <c r="B120" s="58" t="s">
        <v>133</v>
      </c>
      <c r="C120" s="51">
        <v>310</v>
      </c>
      <c r="D120" s="33">
        <f t="shared" si="28"/>
        <v>0</v>
      </c>
      <c r="E120" s="33">
        <f t="shared" si="29"/>
        <v>0</v>
      </c>
      <c r="F120" s="33"/>
      <c r="G120" s="33">
        <f>SUM('ДОУ БУ'!G120+'ДОУ АУ'!G120)</f>
        <v>0</v>
      </c>
      <c r="H120" s="33">
        <f>SUM('ДОУ БУ'!H120+'ДОУ АУ'!H120)</f>
        <v>0</v>
      </c>
      <c r="I120" s="33">
        <f>SUM('ДОУ БУ'!I120+'ДОУ АУ'!I120)</f>
        <v>0</v>
      </c>
      <c r="J120" s="33">
        <f>SUM('ДОУ БУ'!J120+'ДОУ АУ'!J120)</f>
        <v>0</v>
      </c>
      <c r="K120" s="33">
        <f>SUM('ДОУ БУ'!K120+'ДОУ АУ'!K120)</f>
        <v>0</v>
      </c>
      <c r="L120" s="33">
        <f>SUM('ДОУ БУ'!L120+'ДОУ АУ'!L120)</f>
        <v>0</v>
      </c>
      <c r="M120" s="33">
        <f>SUM('ДОУ БУ'!M120+'ДОУ АУ'!M120)</f>
        <v>0</v>
      </c>
      <c r="N120" s="33">
        <f>SUM('ДОУ БУ'!N120+'ДОУ АУ'!N120)</f>
        <v>0</v>
      </c>
      <c r="O120" s="33">
        <f>SUM('ДОУ БУ'!O120+'ДОУ АУ'!O120)</f>
        <v>0</v>
      </c>
      <c r="P120" s="33">
        <f>SUM('ДОУ БУ'!P120+'ДОУ АУ'!P120)</f>
        <v>0</v>
      </c>
      <c r="Q120" s="33">
        <f>SUM('ДОУ БУ'!Q120+'ДОУ АУ'!Q120)</f>
        <v>0</v>
      </c>
      <c r="R120" s="33">
        <f>SUM('ДОУ БУ'!R120+'ДОУ АУ'!R120)</f>
        <v>0</v>
      </c>
      <c r="S120" s="33">
        <f>SUM('ДОУ БУ'!S120+'ДОУ АУ'!S120)</f>
        <v>0</v>
      </c>
      <c r="T120" s="33">
        <f>SUM('ДОУ БУ'!T120+'ДОУ АУ'!T120)</f>
        <v>0</v>
      </c>
    </row>
    <row r="121" spans="1:20" s="27" customFormat="1" ht="16.5" x14ac:dyDescent="0.25">
      <c r="A121" s="63" t="s">
        <v>134</v>
      </c>
      <c r="B121" s="58" t="s">
        <v>135</v>
      </c>
      <c r="C121" s="51">
        <v>310</v>
      </c>
      <c r="D121" s="33">
        <f t="shared" si="28"/>
        <v>0</v>
      </c>
      <c r="E121" s="33">
        <f t="shared" si="29"/>
        <v>0</v>
      </c>
      <c r="F121" s="33"/>
      <c r="G121" s="33">
        <f>SUM('ДОУ БУ'!G121+'ДОУ АУ'!G121)</f>
        <v>0</v>
      </c>
      <c r="H121" s="33"/>
      <c r="I121" s="33">
        <f>SUM('ДОУ БУ'!I121+'ДОУ АУ'!I121)</f>
        <v>0</v>
      </c>
      <c r="J121" s="33"/>
      <c r="K121" s="33">
        <f>SUM('ДОУ БУ'!K121+'ДОУ АУ'!K121)</f>
        <v>0</v>
      </c>
      <c r="L121" s="33"/>
      <c r="M121" s="33">
        <f>SUM('ДОУ БУ'!M121+'ДОУ АУ'!M121)</f>
        <v>0</v>
      </c>
      <c r="N121" s="33"/>
      <c r="O121" s="33">
        <f>SUM('ДОУ БУ'!O121+'ДОУ АУ'!O121)</f>
        <v>0</v>
      </c>
      <c r="P121" s="33"/>
      <c r="Q121" s="33"/>
      <c r="R121" s="33"/>
      <c r="S121" s="33">
        <f>SUM('ДОУ БУ'!S121+'ДОУ АУ'!S121)</f>
        <v>0</v>
      </c>
      <c r="T121" s="33">
        <f>SUM('ДОУ БУ'!T121+'ДОУ АУ'!T121)</f>
        <v>0</v>
      </c>
    </row>
    <row r="122" spans="1:20" s="27" customFormat="1" ht="16.5" x14ac:dyDescent="0.25">
      <c r="A122" s="63" t="s">
        <v>136</v>
      </c>
      <c r="B122" s="58" t="s">
        <v>137</v>
      </c>
      <c r="C122" s="51">
        <v>226</v>
      </c>
      <c r="D122" s="33">
        <f t="shared" si="28"/>
        <v>0</v>
      </c>
      <c r="E122" s="33">
        <f t="shared" si="29"/>
        <v>0</v>
      </c>
      <c r="F122" s="33"/>
      <c r="G122" s="33">
        <f>SUM('ДОУ БУ'!G122+'ДОУ АУ'!G122)</f>
        <v>0</v>
      </c>
      <c r="H122" s="33"/>
      <c r="I122" s="33">
        <f>SUM('ДОУ БУ'!I122+'ДОУ АУ'!I122)</f>
        <v>0</v>
      </c>
      <c r="J122" s="33"/>
      <c r="K122" s="33">
        <f>SUM('ДОУ БУ'!K122+'ДОУ АУ'!K122)</f>
        <v>0</v>
      </c>
      <c r="L122" s="33"/>
      <c r="M122" s="33">
        <f>SUM('ДОУ БУ'!M122+'ДОУ АУ'!M122)</f>
        <v>0</v>
      </c>
      <c r="N122" s="33"/>
      <c r="O122" s="33">
        <f>SUM('ДОУ БУ'!O122+'ДОУ АУ'!O122)</f>
        <v>0</v>
      </c>
      <c r="P122" s="33"/>
      <c r="Q122" s="33"/>
      <c r="R122" s="33"/>
      <c r="S122" s="33">
        <f>SUM('ДОУ БУ'!S122+'ДОУ АУ'!S122)</f>
        <v>0</v>
      </c>
      <c r="T122" s="33">
        <f>SUM('ДОУ БУ'!T122+'ДОУ АУ'!T122)</f>
        <v>0</v>
      </c>
    </row>
    <row r="123" spans="1:20" s="27" customFormat="1" ht="16.5" x14ac:dyDescent="0.25">
      <c r="A123" s="63"/>
      <c r="B123" s="58"/>
      <c r="C123" s="51"/>
      <c r="D123" s="33">
        <f t="shared" si="28"/>
        <v>0</v>
      </c>
      <c r="E123" s="33">
        <f t="shared" si="29"/>
        <v>0</v>
      </c>
      <c r="F123" s="33"/>
      <c r="G123" s="33">
        <f>SUM('ДОУ БУ'!G123+'ДОУ АУ'!G123)</f>
        <v>0</v>
      </c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</row>
    <row r="124" spans="1:20" s="27" customFormat="1" ht="16.5" x14ac:dyDescent="0.25">
      <c r="A124" s="63"/>
      <c r="B124" s="58"/>
      <c r="C124" s="51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</row>
    <row r="125" spans="1:20" s="27" customFormat="1" ht="16.5" x14ac:dyDescent="0.25">
      <c r="A125" s="63"/>
      <c r="B125" s="58"/>
      <c r="C125" s="51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</row>
    <row r="126" spans="1:20" s="27" customFormat="1" ht="16.5" x14ac:dyDescent="0.25">
      <c r="A126" s="63"/>
      <c r="B126" s="58"/>
      <c r="C126" s="51"/>
      <c r="D126" s="33">
        <f t="shared" si="28"/>
        <v>0</v>
      </c>
      <c r="E126" s="33">
        <f t="shared" si="29"/>
        <v>0</v>
      </c>
      <c r="F126" s="33"/>
      <c r="G126" s="33">
        <f>SUM('ДОУ БУ'!G126+'ДОУ АУ'!G126)</f>
        <v>0</v>
      </c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</row>
    <row r="127" spans="1:20" s="27" customFormat="1" ht="16.5" x14ac:dyDescent="0.25">
      <c r="A127" s="63"/>
      <c r="B127" s="58"/>
      <c r="C127" s="51"/>
      <c r="D127" s="33">
        <f t="shared" si="28"/>
        <v>0</v>
      </c>
      <c r="E127" s="33">
        <f t="shared" si="29"/>
        <v>0</v>
      </c>
      <c r="F127" s="33"/>
      <c r="G127" s="33">
        <f>SUM('ДОУ БУ'!G127+'ДОУ АУ'!G127)</f>
        <v>0</v>
      </c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</row>
    <row r="128" spans="1:20" s="27" customFormat="1" ht="16.5" x14ac:dyDescent="0.25">
      <c r="A128" s="63"/>
      <c r="B128" s="58"/>
      <c r="C128" s="51"/>
      <c r="D128" s="33">
        <f t="shared" si="28"/>
        <v>0</v>
      </c>
      <c r="E128" s="33">
        <f t="shared" si="29"/>
        <v>0</v>
      </c>
      <c r="F128" s="33"/>
      <c r="G128" s="33">
        <f>SUM('ДОУ БУ'!G128+'ДОУ АУ'!G128)</f>
        <v>0</v>
      </c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</row>
    <row r="129" spans="1:20" s="18" customFormat="1" ht="34.5" x14ac:dyDescent="0.25">
      <c r="A129" s="65" t="s">
        <v>138</v>
      </c>
      <c r="B129" s="66" t="s">
        <v>139</v>
      </c>
      <c r="C129" s="67"/>
      <c r="D129" s="33">
        <f t="shared" si="28"/>
        <v>0</v>
      </c>
      <c r="E129" s="33">
        <f t="shared" si="29"/>
        <v>0</v>
      </c>
      <c r="F129" s="33"/>
      <c r="G129" s="33">
        <f>SUM('ДОУ БУ'!G129+'ДОУ АУ'!G129)</f>
        <v>0</v>
      </c>
      <c r="H129" s="34"/>
      <c r="I129" s="34">
        <f t="shared" ref="I129:T129" si="39">SUM(I130:I130)</f>
        <v>0</v>
      </c>
      <c r="J129" s="34"/>
      <c r="K129" s="34">
        <f t="shared" si="39"/>
        <v>0</v>
      </c>
      <c r="L129" s="34"/>
      <c r="M129" s="34">
        <f t="shared" si="39"/>
        <v>0</v>
      </c>
      <c r="N129" s="34"/>
      <c r="O129" s="34">
        <f t="shared" si="39"/>
        <v>0</v>
      </c>
      <c r="P129" s="34"/>
      <c r="Q129" s="34"/>
      <c r="R129" s="34"/>
      <c r="S129" s="34">
        <f t="shared" si="39"/>
        <v>0</v>
      </c>
      <c r="T129" s="34">
        <f t="shared" si="39"/>
        <v>0</v>
      </c>
    </row>
    <row r="130" spans="1:20" s="29" customFormat="1" ht="16.5" x14ac:dyDescent="0.25">
      <c r="A130" s="68"/>
      <c r="B130" s="64" t="s">
        <v>140</v>
      </c>
      <c r="C130" s="69">
        <v>226</v>
      </c>
      <c r="D130" s="33">
        <f t="shared" si="28"/>
        <v>0</v>
      </c>
      <c r="E130" s="33">
        <f t="shared" si="29"/>
        <v>0</v>
      </c>
      <c r="F130" s="33"/>
      <c r="G130" s="33">
        <f>SUM('ДОУ БУ'!G130+'ДОУ АУ'!G130)</f>
        <v>0</v>
      </c>
      <c r="H130" s="33"/>
      <c r="I130" s="33">
        <f>SUM('ДОУ БУ'!I130+'ДОУ АУ'!I130)</f>
        <v>0</v>
      </c>
      <c r="J130" s="33"/>
      <c r="K130" s="33">
        <f>SUM('ДОУ БУ'!K130+'ДОУ АУ'!K130)</f>
        <v>0</v>
      </c>
      <c r="L130" s="33"/>
      <c r="M130" s="33">
        <f>SUM('ДОУ БУ'!M130+'ДОУ АУ'!M130)</f>
        <v>0</v>
      </c>
      <c r="N130" s="33"/>
      <c r="O130" s="33">
        <f>SUM('ДОУ БУ'!O130+'ДОУ АУ'!O130)</f>
        <v>0</v>
      </c>
      <c r="P130" s="33"/>
      <c r="Q130" s="33"/>
      <c r="R130" s="33"/>
      <c r="S130" s="33">
        <f>SUM('ДОУ БУ'!S130+'ДОУ АУ'!S130)</f>
        <v>0</v>
      </c>
      <c r="T130" s="33">
        <f>SUM('ДОУ БУ'!T130+'ДОУ АУ'!T130)</f>
        <v>0</v>
      </c>
    </row>
    <row r="131" spans="1:20" s="29" customFormat="1" ht="16.5" x14ac:dyDescent="0.25">
      <c r="A131" s="68"/>
      <c r="B131" s="64"/>
      <c r="C131" s="69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</row>
    <row r="132" spans="1:20" s="29" customFormat="1" ht="16.5" x14ac:dyDescent="0.25">
      <c r="A132" s="68"/>
      <c r="B132" s="64"/>
      <c r="C132" s="69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</row>
    <row r="133" spans="1:20" s="29" customFormat="1" ht="16.5" x14ac:dyDescent="0.25">
      <c r="A133" s="68"/>
      <c r="B133" s="64"/>
      <c r="C133" s="69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</row>
    <row r="134" spans="1:20" s="29" customFormat="1" ht="16.5" x14ac:dyDescent="0.25">
      <c r="A134" s="68"/>
      <c r="B134" s="64"/>
      <c r="C134" s="69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</row>
    <row r="135" spans="1:20" s="18" customFormat="1" ht="34.5" x14ac:dyDescent="0.25">
      <c r="A135" s="61" t="s">
        <v>141</v>
      </c>
      <c r="B135" s="62" t="s">
        <v>142</v>
      </c>
      <c r="C135" s="49"/>
      <c r="D135" s="34">
        <f t="shared" ref="D135:T135" si="40">SUM(D136:D164)</f>
        <v>4590418.57</v>
      </c>
      <c r="E135" s="34">
        <f t="shared" si="40"/>
        <v>606000</v>
      </c>
      <c r="F135" s="34"/>
      <c r="G135" s="34">
        <f t="shared" si="40"/>
        <v>4590418.57</v>
      </c>
      <c r="H135" s="34">
        <f t="shared" si="40"/>
        <v>606000</v>
      </c>
      <c r="I135" s="34">
        <f t="shared" si="40"/>
        <v>0</v>
      </c>
      <c r="J135" s="34">
        <f t="shared" si="40"/>
        <v>0</v>
      </c>
      <c r="K135" s="34">
        <f t="shared" si="40"/>
        <v>0</v>
      </c>
      <c r="L135" s="34">
        <f t="shared" si="40"/>
        <v>0</v>
      </c>
      <c r="M135" s="34">
        <f t="shared" si="40"/>
        <v>0</v>
      </c>
      <c r="N135" s="34">
        <f t="shared" si="40"/>
        <v>0</v>
      </c>
      <c r="O135" s="34">
        <f t="shared" si="40"/>
        <v>0</v>
      </c>
      <c r="P135" s="34">
        <f t="shared" si="40"/>
        <v>0</v>
      </c>
      <c r="Q135" s="34">
        <f t="shared" si="40"/>
        <v>0</v>
      </c>
      <c r="R135" s="34">
        <f t="shared" si="40"/>
        <v>0</v>
      </c>
      <c r="S135" s="34">
        <f t="shared" si="40"/>
        <v>0</v>
      </c>
      <c r="T135" s="34">
        <f t="shared" si="40"/>
        <v>0</v>
      </c>
    </row>
    <row r="136" spans="1:20" s="29" customFormat="1" ht="16.5" hidden="1" x14ac:dyDescent="0.25">
      <c r="A136" s="63" t="s">
        <v>143</v>
      </c>
      <c r="B136" s="58" t="s">
        <v>144</v>
      </c>
      <c r="C136" s="51">
        <v>226</v>
      </c>
      <c r="D136" s="33">
        <f t="shared" si="28"/>
        <v>0</v>
      </c>
      <c r="E136" s="33">
        <f t="shared" si="29"/>
        <v>0</v>
      </c>
      <c r="F136" s="33"/>
      <c r="G136" s="33">
        <f>SUM('ДОУ БУ'!G136+'ДОУ АУ'!G136)</f>
        <v>0</v>
      </c>
      <c r="H136" s="33"/>
      <c r="I136" s="33">
        <f>SUM('ДОУ БУ'!I136+'ДОУ АУ'!I136)</f>
        <v>0</v>
      </c>
      <c r="J136" s="33"/>
      <c r="K136" s="33">
        <f>SUM('ДОУ БУ'!K136+'ДОУ АУ'!K136)</f>
        <v>0</v>
      </c>
      <c r="L136" s="33"/>
      <c r="M136" s="33">
        <f>SUM('ДОУ БУ'!M136+'ДОУ АУ'!M136)</f>
        <v>0</v>
      </c>
      <c r="N136" s="33"/>
      <c r="O136" s="33">
        <f>SUM('ДОУ БУ'!O136+'ДОУ АУ'!O136)</f>
        <v>0</v>
      </c>
      <c r="P136" s="33"/>
      <c r="Q136" s="33"/>
      <c r="R136" s="33"/>
      <c r="S136" s="33">
        <f>SUM('ДОУ БУ'!S136+'ДОУ АУ'!S136)</f>
        <v>0</v>
      </c>
      <c r="T136" s="33">
        <f>SUM('ДОУ БУ'!T136+'ДОУ АУ'!T136)</f>
        <v>0</v>
      </c>
    </row>
    <row r="137" spans="1:20" s="6" customFormat="1" ht="16.5" hidden="1" x14ac:dyDescent="0.25">
      <c r="A137" s="63" t="s">
        <v>143</v>
      </c>
      <c r="B137" s="58" t="s">
        <v>144</v>
      </c>
      <c r="C137" s="51">
        <v>310</v>
      </c>
      <c r="D137" s="33">
        <f t="shared" si="28"/>
        <v>0</v>
      </c>
      <c r="E137" s="33">
        <f t="shared" si="29"/>
        <v>0</v>
      </c>
      <c r="F137" s="33"/>
      <c r="G137" s="33">
        <f>SUM('ДОУ БУ'!G137+'ДОУ АУ'!G137)</f>
        <v>0</v>
      </c>
      <c r="H137" s="33"/>
      <c r="I137" s="33">
        <f>SUM('ДОУ БУ'!I137+'ДОУ АУ'!I137)</f>
        <v>0</v>
      </c>
      <c r="J137" s="33"/>
      <c r="K137" s="33">
        <f>SUM('ДОУ БУ'!K137+'ДОУ АУ'!K137)</f>
        <v>0</v>
      </c>
      <c r="L137" s="33"/>
      <c r="M137" s="33">
        <f>SUM('ДОУ БУ'!M137+'ДОУ АУ'!M137)</f>
        <v>0</v>
      </c>
      <c r="N137" s="33"/>
      <c r="O137" s="33">
        <f>SUM('ДОУ БУ'!O137+'ДОУ АУ'!O137)</f>
        <v>0</v>
      </c>
      <c r="P137" s="33"/>
      <c r="Q137" s="33"/>
      <c r="R137" s="33"/>
      <c r="S137" s="33">
        <f>SUM('ДОУ БУ'!S137+'ДОУ АУ'!S137)</f>
        <v>0</v>
      </c>
      <c r="T137" s="33">
        <f>SUM('ДОУ БУ'!T137+'ДОУ АУ'!T137)</f>
        <v>0</v>
      </c>
    </row>
    <row r="138" spans="1:20" s="6" customFormat="1" ht="33" hidden="1" x14ac:dyDescent="0.25">
      <c r="A138" s="63" t="s">
        <v>145</v>
      </c>
      <c r="B138" s="58" t="s">
        <v>146</v>
      </c>
      <c r="C138" s="51">
        <v>226</v>
      </c>
      <c r="D138" s="33">
        <f t="shared" si="28"/>
        <v>0</v>
      </c>
      <c r="E138" s="33">
        <f t="shared" si="29"/>
        <v>0</v>
      </c>
      <c r="F138" s="33"/>
      <c r="G138" s="33">
        <f>SUM('ДОУ БУ'!G138+'ДОУ АУ'!G138)</f>
        <v>0</v>
      </c>
      <c r="H138" s="33"/>
      <c r="I138" s="33">
        <f>SUM('ДОУ БУ'!I138+'ДОУ АУ'!I138)</f>
        <v>0</v>
      </c>
      <c r="J138" s="33"/>
      <c r="K138" s="33">
        <f>SUM('ДОУ БУ'!K138+'ДОУ АУ'!K138)</f>
        <v>0</v>
      </c>
      <c r="L138" s="33"/>
      <c r="M138" s="33">
        <f>SUM('ДОУ БУ'!M138+'ДОУ АУ'!M138)</f>
        <v>0</v>
      </c>
      <c r="N138" s="33"/>
      <c r="O138" s="33">
        <f>SUM('ДОУ БУ'!O138+'ДОУ АУ'!O138)</f>
        <v>0</v>
      </c>
      <c r="P138" s="33"/>
      <c r="Q138" s="33"/>
      <c r="R138" s="33"/>
      <c r="S138" s="33">
        <f>SUM('ДОУ БУ'!S138+'ДОУ АУ'!S138)</f>
        <v>0</v>
      </c>
      <c r="T138" s="33">
        <f>SUM('ДОУ БУ'!T138+'ДОУ АУ'!T138)</f>
        <v>0</v>
      </c>
    </row>
    <row r="139" spans="1:20" s="6" customFormat="1" ht="33" hidden="1" x14ac:dyDescent="0.25">
      <c r="A139" s="63" t="s">
        <v>145</v>
      </c>
      <c r="B139" s="58" t="s">
        <v>146</v>
      </c>
      <c r="C139" s="51">
        <v>310</v>
      </c>
      <c r="D139" s="33">
        <f t="shared" si="28"/>
        <v>0</v>
      </c>
      <c r="E139" s="33">
        <f t="shared" si="29"/>
        <v>0</v>
      </c>
      <c r="F139" s="33"/>
      <c r="G139" s="33">
        <f>SUM('ДОУ БУ'!G139+'ДОУ АУ'!G139)</f>
        <v>0</v>
      </c>
      <c r="H139" s="33"/>
      <c r="I139" s="33">
        <f>SUM('ДОУ БУ'!I139+'ДОУ АУ'!I139)</f>
        <v>0</v>
      </c>
      <c r="J139" s="33"/>
      <c r="K139" s="33">
        <f>SUM('ДОУ БУ'!K139+'ДОУ АУ'!K139)</f>
        <v>0</v>
      </c>
      <c r="L139" s="33"/>
      <c r="M139" s="33">
        <f>SUM('ДОУ БУ'!M139+'ДОУ АУ'!M139)</f>
        <v>0</v>
      </c>
      <c r="N139" s="33"/>
      <c r="O139" s="33">
        <f>SUM('ДОУ БУ'!O139+'ДОУ АУ'!O139)</f>
        <v>0</v>
      </c>
      <c r="P139" s="33"/>
      <c r="Q139" s="33"/>
      <c r="R139" s="33"/>
      <c r="S139" s="33">
        <f>SUM('ДОУ БУ'!S139+'ДОУ АУ'!S139)</f>
        <v>0</v>
      </c>
      <c r="T139" s="33">
        <f>SUM('ДОУ БУ'!T139+'ДОУ АУ'!T139)</f>
        <v>0</v>
      </c>
    </row>
    <row r="140" spans="1:20" s="6" customFormat="1" ht="16.5" x14ac:dyDescent="0.25">
      <c r="A140" s="63" t="s">
        <v>147</v>
      </c>
      <c r="B140" s="58" t="s">
        <v>148</v>
      </c>
      <c r="C140" s="51">
        <v>310</v>
      </c>
      <c r="D140" s="33">
        <f t="shared" si="28"/>
        <v>400000</v>
      </c>
      <c r="E140" s="33">
        <f t="shared" si="29"/>
        <v>0</v>
      </c>
      <c r="F140" s="33"/>
      <c r="G140" s="33">
        <f>SUM('ДОУ БУ'!G140+'ДОУ АУ'!G140)</f>
        <v>400000</v>
      </c>
      <c r="H140" s="33">
        <f>SUM('ДОУ БУ'!H140+'ДОУ АУ'!H140)</f>
        <v>0</v>
      </c>
      <c r="I140" s="33">
        <f>SUM('ДОУ БУ'!I140+'ДОУ АУ'!I140)</f>
        <v>0</v>
      </c>
      <c r="J140" s="33">
        <f>SUM('ДОУ БУ'!J140+'ДОУ АУ'!J140)</f>
        <v>0</v>
      </c>
      <c r="K140" s="33">
        <f>SUM('ДОУ БУ'!K140+'ДОУ АУ'!K140)</f>
        <v>0</v>
      </c>
      <c r="L140" s="33">
        <f>SUM('ДОУ БУ'!L140+'ДОУ АУ'!L140)</f>
        <v>0</v>
      </c>
      <c r="M140" s="33">
        <f>SUM('ДОУ БУ'!M140+'ДОУ АУ'!M140)</f>
        <v>0</v>
      </c>
      <c r="N140" s="33">
        <f>SUM('ДОУ БУ'!N140+'ДОУ АУ'!N140)</f>
        <v>0</v>
      </c>
      <c r="O140" s="33">
        <f>SUM('ДОУ БУ'!O140+'ДОУ АУ'!O140)</f>
        <v>0</v>
      </c>
      <c r="P140" s="33">
        <f>SUM('ДОУ БУ'!P140+'ДОУ АУ'!P140)</f>
        <v>0</v>
      </c>
      <c r="Q140" s="33">
        <f>SUM('ДОУ БУ'!Q140+'ДОУ АУ'!Q140)</f>
        <v>0</v>
      </c>
      <c r="R140" s="33">
        <f>SUM('ДОУ БУ'!R140+'ДОУ АУ'!R140)</f>
        <v>0</v>
      </c>
      <c r="S140" s="33">
        <f>SUM('ДОУ БУ'!S140+'ДОУ АУ'!S140)</f>
        <v>0</v>
      </c>
      <c r="T140" s="33">
        <f>SUM('ДОУ БУ'!T140+'ДОУ АУ'!T140)</f>
        <v>0</v>
      </c>
    </row>
    <row r="141" spans="1:20" s="6" customFormat="1" ht="33" hidden="1" x14ac:dyDescent="0.25">
      <c r="A141" s="63" t="s">
        <v>149</v>
      </c>
      <c r="B141" s="58" t="s">
        <v>150</v>
      </c>
      <c r="C141" s="51">
        <v>310</v>
      </c>
      <c r="D141" s="33">
        <f t="shared" si="28"/>
        <v>0</v>
      </c>
      <c r="E141" s="33">
        <f t="shared" si="29"/>
        <v>0</v>
      </c>
      <c r="F141" s="33"/>
      <c r="G141" s="33">
        <f>SUM('ДОУ БУ'!G141+'ДОУ АУ'!G141)</f>
        <v>0</v>
      </c>
      <c r="H141" s="33">
        <f>SUM('ДОУ БУ'!H141+'ДОУ АУ'!H141)</f>
        <v>0</v>
      </c>
      <c r="I141" s="33">
        <f>SUM('ДОУ БУ'!I141+'ДОУ АУ'!I141)</f>
        <v>0</v>
      </c>
      <c r="J141" s="33">
        <f>SUM('ДОУ БУ'!J141+'ДОУ АУ'!J141)</f>
        <v>0</v>
      </c>
      <c r="K141" s="33">
        <f>SUM('ДОУ БУ'!K141+'ДОУ АУ'!K141)</f>
        <v>0</v>
      </c>
      <c r="L141" s="33">
        <f>SUM('ДОУ БУ'!L141+'ДОУ АУ'!L141)</f>
        <v>0</v>
      </c>
      <c r="M141" s="33">
        <f>SUM('ДОУ БУ'!M141+'ДОУ АУ'!M141)</f>
        <v>0</v>
      </c>
      <c r="N141" s="33">
        <f>SUM('ДОУ БУ'!N141+'ДОУ АУ'!N141)</f>
        <v>0</v>
      </c>
      <c r="O141" s="33">
        <f>SUM('ДОУ БУ'!O141+'ДОУ АУ'!O141)</f>
        <v>0</v>
      </c>
      <c r="P141" s="33">
        <f>SUM('ДОУ БУ'!P141+'ДОУ АУ'!P141)</f>
        <v>0</v>
      </c>
      <c r="Q141" s="33">
        <f>SUM('ДОУ БУ'!Q141+'ДОУ АУ'!Q141)</f>
        <v>0</v>
      </c>
      <c r="R141" s="33">
        <f>SUM('ДОУ БУ'!R141+'ДОУ АУ'!R141)</f>
        <v>0</v>
      </c>
      <c r="S141" s="33">
        <f>SUM('ДОУ БУ'!S141+'ДОУ АУ'!S141)</f>
        <v>0</v>
      </c>
      <c r="T141" s="33">
        <f>SUM('ДОУ БУ'!T141+'ДОУ АУ'!T141)</f>
        <v>0</v>
      </c>
    </row>
    <row r="142" spans="1:20" s="6" customFormat="1" ht="33" hidden="1" x14ac:dyDescent="0.25">
      <c r="A142" s="63" t="s">
        <v>151</v>
      </c>
      <c r="B142" s="58" t="s">
        <v>152</v>
      </c>
      <c r="C142" s="51">
        <v>310</v>
      </c>
      <c r="D142" s="33">
        <f t="shared" si="28"/>
        <v>0</v>
      </c>
      <c r="E142" s="33">
        <f t="shared" si="29"/>
        <v>0</v>
      </c>
      <c r="F142" s="33"/>
      <c r="G142" s="33">
        <f>SUM('ДОУ БУ'!G142+'ДОУ АУ'!G142)</f>
        <v>0</v>
      </c>
      <c r="H142" s="33">
        <f>SUM('ДОУ БУ'!H142+'ДОУ АУ'!H142)</f>
        <v>0</v>
      </c>
      <c r="I142" s="33">
        <f>SUM('ДОУ БУ'!I142+'ДОУ АУ'!I142)</f>
        <v>0</v>
      </c>
      <c r="J142" s="33">
        <f>SUM('ДОУ БУ'!J142+'ДОУ АУ'!J142)</f>
        <v>0</v>
      </c>
      <c r="K142" s="33">
        <f>SUM('ДОУ БУ'!K142+'ДОУ АУ'!K142)</f>
        <v>0</v>
      </c>
      <c r="L142" s="33">
        <f>SUM('ДОУ БУ'!L142+'ДОУ АУ'!L142)</f>
        <v>0</v>
      </c>
      <c r="M142" s="33">
        <f>SUM('ДОУ БУ'!M142+'ДОУ АУ'!M142)</f>
        <v>0</v>
      </c>
      <c r="N142" s="33">
        <f>SUM('ДОУ БУ'!N142+'ДОУ АУ'!N142)</f>
        <v>0</v>
      </c>
      <c r="O142" s="33">
        <f>SUM('ДОУ БУ'!O142+'ДОУ АУ'!O142)</f>
        <v>0</v>
      </c>
      <c r="P142" s="33">
        <f>SUM('ДОУ БУ'!P142+'ДОУ АУ'!P142)</f>
        <v>0</v>
      </c>
      <c r="Q142" s="33">
        <f>SUM('ДОУ БУ'!Q142+'ДОУ АУ'!Q142)</f>
        <v>0</v>
      </c>
      <c r="R142" s="33">
        <f>SUM('ДОУ БУ'!R142+'ДОУ АУ'!R142)</f>
        <v>0</v>
      </c>
      <c r="S142" s="33">
        <f>SUM('ДОУ БУ'!S142+'ДОУ АУ'!S142)</f>
        <v>0</v>
      </c>
      <c r="T142" s="33">
        <f>SUM('ДОУ БУ'!T142+'ДОУ АУ'!T142)</f>
        <v>0</v>
      </c>
    </row>
    <row r="143" spans="1:20" s="6" customFormat="1" ht="49.5" hidden="1" x14ac:dyDescent="0.25">
      <c r="A143" s="63" t="s">
        <v>153</v>
      </c>
      <c r="B143" s="28" t="s">
        <v>154</v>
      </c>
      <c r="C143" s="51">
        <v>226</v>
      </c>
      <c r="D143" s="33">
        <f t="shared" si="28"/>
        <v>0</v>
      </c>
      <c r="E143" s="33">
        <f t="shared" si="29"/>
        <v>0</v>
      </c>
      <c r="F143" s="33"/>
      <c r="G143" s="33">
        <f>SUM('ДОУ БУ'!G143+'ДОУ АУ'!G143)</f>
        <v>0</v>
      </c>
      <c r="H143" s="33">
        <f>SUM('ДОУ БУ'!H143+'ДОУ АУ'!H143)</f>
        <v>0</v>
      </c>
      <c r="I143" s="33">
        <f>SUM('ДОУ БУ'!I143+'ДОУ АУ'!I143)</f>
        <v>0</v>
      </c>
      <c r="J143" s="33">
        <f>SUM('ДОУ БУ'!J143+'ДОУ АУ'!J143)</f>
        <v>0</v>
      </c>
      <c r="K143" s="33">
        <f>SUM('ДОУ БУ'!K143+'ДОУ АУ'!K143)</f>
        <v>0</v>
      </c>
      <c r="L143" s="33">
        <f>SUM('ДОУ БУ'!L143+'ДОУ АУ'!L143)</f>
        <v>0</v>
      </c>
      <c r="M143" s="33">
        <f>SUM('ДОУ БУ'!M143+'ДОУ АУ'!M143)</f>
        <v>0</v>
      </c>
      <c r="N143" s="33">
        <f>SUM('ДОУ БУ'!N143+'ДОУ АУ'!N143)</f>
        <v>0</v>
      </c>
      <c r="O143" s="33">
        <f>SUM('ДОУ БУ'!O143+'ДОУ АУ'!O143)</f>
        <v>0</v>
      </c>
      <c r="P143" s="33">
        <f>SUM('ДОУ БУ'!P143+'ДОУ АУ'!P143)</f>
        <v>0</v>
      </c>
      <c r="Q143" s="33">
        <f>SUM('ДОУ БУ'!Q143+'ДОУ АУ'!Q143)</f>
        <v>0</v>
      </c>
      <c r="R143" s="33">
        <f>SUM('ДОУ БУ'!R143+'ДОУ АУ'!R143)</f>
        <v>0</v>
      </c>
      <c r="S143" s="33">
        <f>SUM('ДОУ БУ'!S143+'ДОУ АУ'!S143)</f>
        <v>0</v>
      </c>
      <c r="T143" s="33">
        <f>SUM('ДОУ БУ'!T143+'ДОУ АУ'!T143)</f>
        <v>0</v>
      </c>
    </row>
    <row r="144" spans="1:20" s="6" customFormat="1" ht="16.5" hidden="1" x14ac:dyDescent="0.25">
      <c r="A144" s="63" t="s">
        <v>155</v>
      </c>
      <c r="B144" s="28" t="s">
        <v>156</v>
      </c>
      <c r="C144" s="51">
        <v>226</v>
      </c>
      <c r="D144" s="33">
        <f t="shared" si="28"/>
        <v>0</v>
      </c>
      <c r="E144" s="33">
        <f t="shared" si="29"/>
        <v>0</v>
      </c>
      <c r="F144" s="33"/>
      <c r="G144" s="33">
        <f>SUM('ДОУ БУ'!G144+'ДОУ АУ'!G144)</f>
        <v>0</v>
      </c>
      <c r="H144" s="33">
        <f>SUM('ДОУ БУ'!H144+'ДОУ АУ'!H144)</f>
        <v>0</v>
      </c>
      <c r="I144" s="33">
        <f>SUM('ДОУ БУ'!I144+'ДОУ АУ'!I144)</f>
        <v>0</v>
      </c>
      <c r="J144" s="33">
        <f>SUM('ДОУ БУ'!J144+'ДОУ АУ'!J144)</f>
        <v>0</v>
      </c>
      <c r="K144" s="33">
        <f>SUM('ДОУ БУ'!K144+'ДОУ АУ'!K144)</f>
        <v>0</v>
      </c>
      <c r="L144" s="33">
        <f>SUM('ДОУ БУ'!L144+'ДОУ АУ'!L144)</f>
        <v>0</v>
      </c>
      <c r="M144" s="33">
        <f>SUM('ДОУ БУ'!M144+'ДОУ АУ'!M144)</f>
        <v>0</v>
      </c>
      <c r="N144" s="33">
        <f>SUM('ДОУ БУ'!N144+'ДОУ АУ'!N144)</f>
        <v>0</v>
      </c>
      <c r="O144" s="33">
        <f>SUM('ДОУ БУ'!O144+'ДОУ АУ'!O144)</f>
        <v>0</v>
      </c>
      <c r="P144" s="33">
        <f>SUM('ДОУ БУ'!P144+'ДОУ АУ'!P144)</f>
        <v>0</v>
      </c>
      <c r="Q144" s="33">
        <f>SUM('ДОУ БУ'!Q144+'ДОУ АУ'!Q144)</f>
        <v>0</v>
      </c>
      <c r="R144" s="33">
        <f>SUM('ДОУ БУ'!R144+'ДОУ АУ'!R144)</f>
        <v>0</v>
      </c>
      <c r="S144" s="33">
        <f>SUM('ДОУ БУ'!S144+'ДОУ АУ'!S144)</f>
        <v>0</v>
      </c>
      <c r="T144" s="33">
        <f>SUM('ДОУ БУ'!T144+'ДОУ АУ'!T144)</f>
        <v>0</v>
      </c>
    </row>
    <row r="145" spans="1:20" s="6" customFormat="1" ht="16.5" hidden="1" x14ac:dyDescent="0.25">
      <c r="A145" s="63" t="s">
        <v>155</v>
      </c>
      <c r="B145" s="28" t="s">
        <v>157</v>
      </c>
      <c r="C145" s="51">
        <v>310</v>
      </c>
      <c r="D145" s="33">
        <f t="shared" si="28"/>
        <v>0</v>
      </c>
      <c r="E145" s="33">
        <f t="shared" si="29"/>
        <v>0</v>
      </c>
      <c r="F145" s="33"/>
      <c r="G145" s="33">
        <f>SUM('ДОУ БУ'!G145+'ДОУ АУ'!G145)</f>
        <v>0</v>
      </c>
      <c r="H145" s="33">
        <f>SUM('ДОУ БУ'!H145+'ДОУ АУ'!H145)</f>
        <v>0</v>
      </c>
      <c r="I145" s="33">
        <f>SUM('ДОУ БУ'!I145+'ДОУ АУ'!I145)</f>
        <v>0</v>
      </c>
      <c r="J145" s="33">
        <f>SUM('ДОУ БУ'!J145+'ДОУ АУ'!J145)</f>
        <v>0</v>
      </c>
      <c r="K145" s="33">
        <f>SUM('ДОУ БУ'!K145+'ДОУ АУ'!K145)</f>
        <v>0</v>
      </c>
      <c r="L145" s="33">
        <f>SUM('ДОУ БУ'!L145+'ДОУ АУ'!L145)</f>
        <v>0</v>
      </c>
      <c r="M145" s="33">
        <f>SUM('ДОУ БУ'!M145+'ДОУ АУ'!M145)</f>
        <v>0</v>
      </c>
      <c r="N145" s="33">
        <f>SUM('ДОУ БУ'!N145+'ДОУ АУ'!N145)</f>
        <v>0</v>
      </c>
      <c r="O145" s="33">
        <f>SUM('ДОУ БУ'!O145+'ДОУ АУ'!O145)</f>
        <v>0</v>
      </c>
      <c r="P145" s="33">
        <f>SUM('ДОУ БУ'!P145+'ДОУ АУ'!P145)</f>
        <v>0</v>
      </c>
      <c r="Q145" s="33">
        <f>SUM('ДОУ БУ'!Q145+'ДОУ АУ'!Q145)</f>
        <v>0</v>
      </c>
      <c r="R145" s="33">
        <f>SUM('ДОУ БУ'!R145+'ДОУ АУ'!R145)</f>
        <v>0</v>
      </c>
      <c r="S145" s="33">
        <f>SUM('ДОУ БУ'!S145+'ДОУ АУ'!S145)</f>
        <v>0</v>
      </c>
      <c r="T145" s="33">
        <f>SUM('ДОУ БУ'!T145+'ДОУ АУ'!T145)</f>
        <v>0</v>
      </c>
    </row>
    <row r="146" spans="1:20" s="6" customFormat="1" ht="16.5" hidden="1" x14ac:dyDescent="0.25">
      <c r="A146" s="63" t="s">
        <v>155</v>
      </c>
      <c r="B146" s="28" t="s">
        <v>157</v>
      </c>
      <c r="C146" s="51">
        <v>340</v>
      </c>
      <c r="D146" s="33">
        <f t="shared" si="28"/>
        <v>0</v>
      </c>
      <c r="E146" s="33">
        <f t="shared" si="29"/>
        <v>0</v>
      </c>
      <c r="F146" s="33"/>
      <c r="G146" s="33">
        <f>SUM('ДОУ БУ'!G146+'ДОУ АУ'!G146)</f>
        <v>0</v>
      </c>
      <c r="H146" s="33">
        <f>SUM('ДОУ БУ'!H146+'ДОУ АУ'!H146)</f>
        <v>0</v>
      </c>
      <c r="I146" s="33">
        <f>SUM('ДОУ БУ'!I146+'ДОУ АУ'!I146)</f>
        <v>0</v>
      </c>
      <c r="J146" s="33">
        <f>SUM('ДОУ БУ'!J146+'ДОУ АУ'!J146)</f>
        <v>0</v>
      </c>
      <c r="K146" s="33">
        <f>SUM('ДОУ БУ'!K146+'ДОУ АУ'!K146)</f>
        <v>0</v>
      </c>
      <c r="L146" s="33">
        <f>SUM('ДОУ БУ'!L146+'ДОУ АУ'!L146)</f>
        <v>0</v>
      </c>
      <c r="M146" s="33">
        <f>SUM('ДОУ БУ'!M146+'ДОУ АУ'!M146)</f>
        <v>0</v>
      </c>
      <c r="N146" s="33">
        <f>SUM('ДОУ БУ'!N146+'ДОУ АУ'!N146)</f>
        <v>0</v>
      </c>
      <c r="O146" s="33">
        <f>SUM('ДОУ БУ'!O146+'ДОУ АУ'!O146)</f>
        <v>0</v>
      </c>
      <c r="P146" s="33">
        <f>SUM('ДОУ БУ'!P146+'ДОУ АУ'!P146)</f>
        <v>0</v>
      </c>
      <c r="Q146" s="33">
        <f>SUM('ДОУ БУ'!Q146+'ДОУ АУ'!Q146)</f>
        <v>0</v>
      </c>
      <c r="R146" s="33">
        <f>SUM('ДОУ БУ'!R146+'ДОУ АУ'!R146)</f>
        <v>0</v>
      </c>
      <c r="S146" s="33">
        <f>SUM('ДОУ БУ'!S146+'ДОУ АУ'!S146)</f>
        <v>0</v>
      </c>
      <c r="T146" s="33">
        <f>SUM('ДОУ БУ'!T146+'ДОУ АУ'!T146)</f>
        <v>0</v>
      </c>
    </row>
    <row r="147" spans="1:20" s="6" customFormat="1" ht="16.5" hidden="1" x14ac:dyDescent="0.25">
      <c r="A147" s="63" t="s">
        <v>158</v>
      </c>
      <c r="B147" s="28" t="s">
        <v>159</v>
      </c>
      <c r="C147" s="51">
        <v>226</v>
      </c>
      <c r="D147" s="33">
        <f t="shared" si="28"/>
        <v>0</v>
      </c>
      <c r="E147" s="33">
        <f t="shared" si="29"/>
        <v>0</v>
      </c>
      <c r="F147" s="33"/>
      <c r="G147" s="33">
        <f>SUM('ДОУ БУ'!G147+'ДОУ АУ'!G147)</f>
        <v>0</v>
      </c>
      <c r="H147" s="33">
        <f>SUM('ДОУ БУ'!H147+'ДОУ АУ'!H147)</f>
        <v>0</v>
      </c>
      <c r="I147" s="33">
        <f>SUM('ДОУ БУ'!I147+'ДОУ АУ'!I147)</f>
        <v>0</v>
      </c>
      <c r="J147" s="33">
        <f>SUM('ДОУ БУ'!J147+'ДОУ АУ'!J147)</f>
        <v>0</v>
      </c>
      <c r="K147" s="33">
        <f>SUM('ДОУ БУ'!K147+'ДОУ АУ'!K147)</f>
        <v>0</v>
      </c>
      <c r="L147" s="33">
        <f>SUM('ДОУ БУ'!L147+'ДОУ АУ'!L147)</f>
        <v>0</v>
      </c>
      <c r="M147" s="33">
        <f>SUM('ДОУ БУ'!M147+'ДОУ АУ'!M147)</f>
        <v>0</v>
      </c>
      <c r="N147" s="33">
        <f>SUM('ДОУ БУ'!N147+'ДОУ АУ'!N147)</f>
        <v>0</v>
      </c>
      <c r="O147" s="33">
        <f>SUM('ДОУ БУ'!O147+'ДОУ АУ'!O147)</f>
        <v>0</v>
      </c>
      <c r="P147" s="33">
        <f>SUM('ДОУ БУ'!P147+'ДОУ АУ'!P147)</f>
        <v>0</v>
      </c>
      <c r="Q147" s="33">
        <f>SUM('ДОУ БУ'!Q147+'ДОУ АУ'!Q147)</f>
        <v>0</v>
      </c>
      <c r="R147" s="33">
        <f>SUM('ДОУ БУ'!R147+'ДОУ АУ'!R147)</f>
        <v>0</v>
      </c>
      <c r="S147" s="33">
        <f>SUM('ДОУ БУ'!S147+'ДОУ АУ'!S147)</f>
        <v>0</v>
      </c>
      <c r="T147" s="33">
        <f>SUM('ДОУ БУ'!T147+'ДОУ АУ'!T147)</f>
        <v>0</v>
      </c>
    </row>
    <row r="148" spans="1:20" s="6" customFormat="1" ht="49.5" x14ac:dyDescent="0.25">
      <c r="A148" s="63" t="s">
        <v>160</v>
      </c>
      <c r="B148" s="28" t="s">
        <v>284</v>
      </c>
      <c r="C148" s="51">
        <v>226</v>
      </c>
      <c r="D148" s="33">
        <f t="shared" si="28"/>
        <v>24000</v>
      </c>
      <c r="E148" s="33">
        <f t="shared" si="29"/>
        <v>12000</v>
      </c>
      <c r="F148" s="33"/>
      <c r="G148" s="33">
        <f>SUM('ДОУ БУ'!G148+'ДОУ АУ'!G148)</f>
        <v>24000</v>
      </c>
      <c r="H148" s="33">
        <f>SUM('ДОУ БУ'!H148+'ДОУ АУ'!H148)</f>
        <v>12000</v>
      </c>
      <c r="I148" s="33">
        <f>SUM('ДОУ БУ'!I148+'ДОУ АУ'!I148)</f>
        <v>0</v>
      </c>
      <c r="J148" s="33">
        <f>SUM('ДОУ БУ'!J148+'ДОУ АУ'!J148)</f>
        <v>0</v>
      </c>
      <c r="K148" s="33">
        <f>SUM('ДОУ БУ'!K148+'ДОУ АУ'!K148)</f>
        <v>0</v>
      </c>
      <c r="L148" s="33">
        <f>SUM('ДОУ БУ'!L148+'ДОУ АУ'!L148)</f>
        <v>0</v>
      </c>
      <c r="M148" s="33">
        <f>SUM('ДОУ БУ'!M148+'ДОУ АУ'!M148)</f>
        <v>0</v>
      </c>
      <c r="N148" s="33">
        <f>SUM('ДОУ БУ'!N148+'ДОУ АУ'!N148)</f>
        <v>0</v>
      </c>
      <c r="O148" s="33">
        <f>SUM('ДОУ БУ'!O148+'ДОУ АУ'!O148)</f>
        <v>0</v>
      </c>
      <c r="P148" s="33">
        <f>SUM('ДОУ БУ'!P148+'ДОУ АУ'!P148)</f>
        <v>0</v>
      </c>
      <c r="Q148" s="33">
        <f>SUM('ДОУ БУ'!Q148+'ДОУ АУ'!Q148)</f>
        <v>0</v>
      </c>
      <c r="R148" s="33">
        <f>SUM('ДОУ БУ'!R148+'ДОУ АУ'!R148)</f>
        <v>0</v>
      </c>
      <c r="S148" s="33">
        <f>SUM('ДОУ БУ'!S148+'ДОУ АУ'!S148)</f>
        <v>0</v>
      </c>
      <c r="T148" s="33">
        <f>SUM('ДОУ БУ'!T148+'ДОУ АУ'!T148)</f>
        <v>0</v>
      </c>
    </row>
    <row r="149" spans="1:20" s="6" customFormat="1" ht="33" x14ac:dyDescent="0.25">
      <c r="A149" s="63" t="s">
        <v>162</v>
      </c>
      <c r="B149" s="28" t="s">
        <v>163</v>
      </c>
      <c r="C149" s="51">
        <v>226</v>
      </c>
      <c r="D149" s="33">
        <f t="shared" si="28"/>
        <v>3074418.5700000003</v>
      </c>
      <c r="E149" s="33">
        <f t="shared" si="29"/>
        <v>0</v>
      </c>
      <c r="F149" s="33"/>
      <c r="G149" s="33">
        <f>SUM('ДОУ БУ'!G149+'ДОУ АУ'!G149)</f>
        <v>3074418.5700000003</v>
      </c>
      <c r="H149" s="33">
        <f>SUM('ДОУ БУ'!H149+'ДОУ АУ'!H149)</f>
        <v>0</v>
      </c>
      <c r="I149" s="33">
        <f>SUM('ДОУ БУ'!I149+'ДОУ АУ'!I149)</f>
        <v>0</v>
      </c>
      <c r="J149" s="33">
        <f>SUM('ДОУ БУ'!J149+'ДОУ АУ'!J149)</f>
        <v>0</v>
      </c>
      <c r="K149" s="33">
        <f>SUM('ДОУ БУ'!K149+'ДОУ АУ'!K149)</f>
        <v>0</v>
      </c>
      <c r="L149" s="33">
        <f>SUM('ДОУ БУ'!L149+'ДОУ АУ'!L149)</f>
        <v>0</v>
      </c>
      <c r="M149" s="33">
        <f>SUM('ДОУ БУ'!M149+'ДОУ АУ'!M149)</f>
        <v>0</v>
      </c>
      <c r="N149" s="33">
        <f>SUM('ДОУ БУ'!N149+'ДОУ АУ'!N149)</f>
        <v>0</v>
      </c>
      <c r="O149" s="33">
        <f>SUM('ДОУ БУ'!O149+'ДОУ АУ'!O149)</f>
        <v>0</v>
      </c>
      <c r="P149" s="33">
        <f>SUM('ДОУ БУ'!P149+'ДОУ АУ'!P149)</f>
        <v>0</v>
      </c>
      <c r="Q149" s="33">
        <f>SUM('ДОУ БУ'!Q149+'ДОУ АУ'!Q149)</f>
        <v>0</v>
      </c>
      <c r="R149" s="33">
        <f>SUM('ДОУ БУ'!R149+'ДОУ АУ'!R149)</f>
        <v>0</v>
      </c>
      <c r="S149" s="33">
        <f>SUM('ДОУ БУ'!S149+'ДОУ АУ'!S149)</f>
        <v>0</v>
      </c>
      <c r="T149" s="33">
        <f>SUM('ДОУ БУ'!T149+'ДОУ АУ'!T149)</f>
        <v>0</v>
      </c>
    </row>
    <row r="150" spans="1:20" s="6" customFormat="1" ht="16.5" hidden="1" x14ac:dyDescent="0.25">
      <c r="A150" s="63" t="s">
        <v>164</v>
      </c>
      <c r="B150" s="28" t="s">
        <v>165</v>
      </c>
      <c r="C150" s="51">
        <v>310</v>
      </c>
      <c r="D150" s="33">
        <f t="shared" si="28"/>
        <v>0</v>
      </c>
      <c r="E150" s="33">
        <f t="shared" si="29"/>
        <v>0</v>
      </c>
      <c r="F150" s="33"/>
      <c r="G150" s="33">
        <f>SUM('ДОУ БУ'!G150+'ДОУ АУ'!G150)</f>
        <v>0</v>
      </c>
      <c r="H150" s="33">
        <f>SUM('ДОУ БУ'!H150+'ДОУ АУ'!H150)</f>
        <v>0</v>
      </c>
      <c r="I150" s="33">
        <f>SUM('ДОУ БУ'!I150+'ДОУ АУ'!I150)</f>
        <v>0</v>
      </c>
      <c r="J150" s="33">
        <f>SUM('ДОУ БУ'!J150+'ДОУ АУ'!J150)</f>
        <v>0</v>
      </c>
      <c r="K150" s="33">
        <f>SUM('ДОУ БУ'!K150+'ДОУ АУ'!K150)</f>
        <v>0</v>
      </c>
      <c r="L150" s="33">
        <f>SUM('ДОУ БУ'!L150+'ДОУ АУ'!L150)</f>
        <v>0</v>
      </c>
      <c r="M150" s="33">
        <f>SUM('ДОУ БУ'!M150+'ДОУ АУ'!M150)</f>
        <v>0</v>
      </c>
      <c r="N150" s="33">
        <f>SUM('ДОУ БУ'!N150+'ДОУ АУ'!N150)</f>
        <v>0</v>
      </c>
      <c r="O150" s="33">
        <f>SUM('ДОУ БУ'!O150+'ДОУ АУ'!O150)</f>
        <v>0</v>
      </c>
      <c r="P150" s="33">
        <f>SUM('ДОУ БУ'!P150+'ДОУ АУ'!P150)</f>
        <v>0</v>
      </c>
      <c r="Q150" s="33">
        <f>SUM('ДОУ БУ'!Q150+'ДОУ АУ'!Q150)</f>
        <v>0</v>
      </c>
      <c r="R150" s="33">
        <f>SUM('ДОУ БУ'!R150+'ДОУ АУ'!R150)</f>
        <v>0</v>
      </c>
      <c r="S150" s="33">
        <f>SUM('ДОУ БУ'!S150+'ДОУ АУ'!S150)</f>
        <v>0</v>
      </c>
      <c r="T150" s="33">
        <f>SUM('ДОУ БУ'!T150+'ДОУ АУ'!T150)</f>
        <v>0</v>
      </c>
    </row>
    <row r="151" spans="1:20" s="6" customFormat="1" ht="33" hidden="1" x14ac:dyDescent="0.25">
      <c r="A151" s="63" t="s">
        <v>166</v>
      </c>
      <c r="B151" s="28" t="s">
        <v>167</v>
      </c>
      <c r="C151" s="51">
        <v>226</v>
      </c>
      <c r="D151" s="33">
        <f t="shared" si="28"/>
        <v>0</v>
      </c>
      <c r="E151" s="33">
        <f t="shared" si="29"/>
        <v>0</v>
      </c>
      <c r="F151" s="33"/>
      <c r="G151" s="33">
        <f>SUM('ДОУ БУ'!G151+'ДОУ АУ'!G151)</f>
        <v>0</v>
      </c>
      <c r="H151" s="33">
        <f>SUM('ДОУ БУ'!H151+'ДОУ АУ'!H151)</f>
        <v>0</v>
      </c>
      <c r="I151" s="33">
        <f>SUM('ДОУ БУ'!I151+'ДОУ АУ'!I151)</f>
        <v>0</v>
      </c>
      <c r="J151" s="33">
        <f>SUM('ДОУ БУ'!J151+'ДОУ АУ'!J151)</f>
        <v>0</v>
      </c>
      <c r="K151" s="33">
        <f>SUM('ДОУ БУ'!K151+'ДОУ АУ'!K151)</f>
        <v>0</v>
      </c>
      <c r="L151" s="33">
        <f>SUM('ДОУ БУ'!L151+'ДОУ АУ'!L151)</f>
        <v>0</v>
      </c>
      <c r="M151" s="33">
        <f>SUM('ДОУ БУ'!M151+'ДОУ АУ'!M151)</f>
        <v>0</v>
      </c>
      <c r="N151" s="33">
        <f>SUM('ДОУ БУ'!N151+'ДОУ АУ'!N151)</f>
        <v>0</v>
      </c>
      <c r="O151" s="33">
        <f>SUM('ДОУ БУ'!O151+'ДОУ АУ'!O151)</f>
        <v>0</v>
      </c>
      <c r="P151" s="33">
        <f>SUM('ДОУ БУ'!P151+'ДОУ АУ'!P151)</f>
        <v>0</v>
      </c>
      <c r="Q151" s="33">
        <f>SUM('ДОУ БУ'!Q151+'ДОУ АУ'!Q151)</f>
        <v>0</v>
      </c>
      <c r="R151" s="33">
        <f>SUM('ДОУ БУ'!R151+'ДОУ АУ'!R151)</f>
        <v>0</v>
      </c>
      <c r="S151" s="33">
        <f>SUM('ДОУ БУ'!S151+'ДОУ АУ'!S151)</f>
        <v>0</v>
      </c>
      <c r="T151" s="33">
        <f>SUM('ДОУ БУ'!T151+'ДОУ АУ'!T151)</f>
        <v>0</v>
      </c>
    </row>
    <row r="152" spans="1:20" s="6" customFormat="1" ht="33" hidden="1" x14ac:dyDescent="0.25">
      <c r="A152" s="63" t="s">
        <v>166</v>
      </c>
      <c r="B152" s="28" t="s">
        <v>167</v>
      </c>
      <c r="C152" s="51">
        <v>310</v>
      </c>
      <c r="D152" s="33">
        <f t="shared" ref="D152:D215" si="41">SUM(G152+I152+K152+M152+O152+Q152+S152)</f>
        <v>0</v>
      </c>
      <c r="E152" s="33">
        <f t="shared" ref="E152:E215" si="42">SUM(H152+J152+L152+N152+P152+R152+T152)</f>
        <v>0</v>
      </c>
      <c r="F152" s="33"/>
      <c r="G152" s="33">
        <f>SUM('ДОУ БУ'!G152+'ДОУ АУ'!G152)</f>
        <v>0</v>
      </c>
      <c r="H152" s="33">
        <f>SUM('ДОУ БУ'!H152+'ДОУ АУ'!H152)</f>
        <v>0</v>
      </c>
      <c r="I152" s="33">
        <f>SUM('ДОУ БУ'!I152+'ДОУ АУ'!I152)</f>
        <v>0</v>
      </c>
      <c r="J152" s="33">
        <f>SUM('ДОУ БУ'!J152+'ДОУ АУ'!J152)</f>
        <v>0</v>
      </c>
      <c r="K152" s="33">
        <f>SUM('ДОУ БУ'!K152+'ДОУ АУ'!K152)</f>
        <v>0</v>
      </c>
      <c r="L152" s="33">
        <f>SUM('ДОУ БУ'!L152+'ДОУ АУ'!L152)</f>
        <v>0</v>
      </c>
      <c r="M152" s="33">
        <f>SUM('ДОУ БУ'!M152+'ДОУ АУ'!M152)</f>
        <v>0</v>
      </c>
      <c r="N152" s="33">
        <f>SUM('ДОУ БУ'!N152+'ДОУ АУ'!N152)</f>
        <v>0</v>
      </c>
      <c r="O152" s="33">
        <f>SUM('ДОУ БУ'!O152+'ДОУ АУ'!O152)</f>
        <v>0</v>
      </c>
      <c r="P152" s="33">
        <f>SUM('ДОУ БУ'!P152+'ДОУ АУ'!P152)</f>
        <v>0</v>
      </c>
      <c r="Q152" s="33">
        <f>SUM('ДОУ БУ'!Q152+'ДОУ АУ'!Q152)</f>
        <v>0</v>
      </c>
      <c r="R152" s="33">
        <f>SUM('ДОУ БУ'!R152+'ДОУ АУ'!R152)</f>
        <v>0</v>
      </c>
      <c r="S152" s="33">
        <f>SUM('ДОУ БУ'!S152+'ДОУ АУ'!S152)</f>
        <v>0</v>
      </c>
      <c r="T152" s="33">
        <f>SUM('ДОУ БУ'!T152+'ДОУ АУ'!T152)</f>
        <v>0</v>
      </c>
    </row>
    <row r="153" spans="1:20" s="6" customFormat="1" ht="33" x14ac:dyDescent="0.25">
      <c r="A153" s="63" t="s">
        <v>168</v>
      </c>
      <c r="B153" s="28" t="s">
        <v>169</v>
      </c>
      <c r="C153" s="51">
        <v>226</v>
      </c>
      <c r="D153" s="33">
        <f t="shared" si="41"/>
        <v>552000</v>
      </c>
      <c r="E153" s="33">
        <f t="shared" si="42"/>
        <v>501298.02</v>
      </c>
      <c r="F153" s="33"/>
      <c r="G153" s="33">
        <f>SUM('ДОУ БУ'!G153+'ДОУ АУ'!G153)</f>
        <v>552000</v>
      </c>
      <c r="H153" s="33">
        <f>SUM('ДОУ БУ'!H153+'ДОУ АУ'!H153)</f>
        <v>501298.02</v>
      </c>
      <c r="I153" s="33">
        <f>SUM('ДОУ БУ'!I153+'ДОУ АУ'!I153)</f>
        <v>0</v>
      </c>
      <c r="J153" s="33">
        <f>SUM('ДОУ БУ'!J153+'ДОУ АУ'!J153)</f>
        <v>0</v>
      </c>
      <c r="K153" s="33">
        <f>SUM('ДОУ БУ'!K153+'ДОУ АУ'!K153)</f>
        <v>0</v>
      </c>
      <c r="L153" s="33">
        <f>SUM('ДОУ БУ'!L153+'ДОУ АУ'!L153)</f>
        <v>0</v>
      </c>
      <c r="M153" s="33">
        <f>SUM('ДОУ БУ'!M153+'ДОУ АУ'!M153)</f>
        <v>0</v>
      </c>
      <c r="N153" s="33">
        <f>SUM('ДОУ БУ'!N153+'ДОУ АУ'!N153)</f>
        <v>0</v>
      </c>
      <c r="O153" s="33">
        <f>SUM('ДОУ БУ'!O153+'ДОУ АУ'!O153)</f>
        <v>0</v>
      </c>
      <c r="P153" s="33">
        <f>SUM('ДОУ БУ'!P153+'ДОУ АУ'!P153)</f>
        <v>0</v>
      </c>
      <c r="Q153" s="33">
        <f>SUM('ДОУ БУ'!Q153+'ДОУ АУ'!Q153)</f>
        <v>0</v>
      </c>
      <c r="R153" s="33">
        <f>SUM('ДОУ БУ'!R153+'ДОУ АУ'!R153)</f>
        <v>0</v>
      </c>
      <c r="S153" s="33">
        <f>SUM('ДОУ БУ'!S153+'ДОУ АУ'!S153)</f>
        <v>0</v>
      </c>
      <c r="T153" s="33">
        <f>SUM('ДОУ БУ'!T153+'ДОУ АУ'!T153)</f>
        <v>0</v>
      </c>
    </row>
    <row r="154" spans="1:20" s="6" customFormat="1" ht="33" x14ac:dyDescent="0.25">
      <c r="A154" s="63" t="s">
        <v>168</v>
      </c>
      <c r="B154" s="28" t="s">
        <v>169</v>
      </c>
      <c r="C154" s="51">
        <v>310</v>
      </c>
      <c r="D154" s="33">
        <f t="shared" si="41"/>
        <v>540000</v>
      </c>
      <c r="E154" s="33">
        <f t="shared" si="42"/>
        <v>92701.98</v>
      </c>
      <c r="F154" s="33"/>
      <c r="G154" s="33">
        <f>SUM('ДОУ БУ'!G154+'ДОУ АУ'!G154)</f>
        <v>540000</v>
      </c>
      <c r="H154" s="33">
        <f>SUM('ДОУ БУ'!H154+'ДОУ АУ'!H154)</f>
        <v>92701.98</v>
      </c>
      <c r="I154" s="33">
        <f>SUM('ДОУ БУ'!I154+'ДОУ АУ'!I154)</f>
        <v>0</v>
      </c>
      <c r="J154" s="33">
        <f>SUM('ДОУ БУ'!J154+'ДОУ АУ'!J154)</f>
        <v>0</v>
      </c>
      <c r="K154" s="33">
        <f>SUM('ДОУ БУ'!K154+'ДОУ АУ'!K154)</f>
        <v>0</v>
      </c>
      <c r="L154" s="33">
        <f>SUM('ДОУ БУ'!L154+'ДОУ АУ'!L154)</f>
        <v>0</v>
      </c>
      <c r="M154" s="33">
        <f>SUM('ДОУ БУ'!M154+'ДОУ АУ'!M154)</f>
        <v>0</v>
      </c>
      <c r="N154" s="33">
        <f>SUM('ДОУ БУ'!N154+'ДОУ АУ'!N154)</f>
        <v>0</v>
      </c>
      <c r="O154" s="33">
        <f>SUM('ДОУ БУ'!O154+'ДОУ АУ'!O154)</f>
        <v>0</v>
      </c>
      <c r="P154" s="33">
        <f>SUM('ДОУ БУ'!P154+'ДОУ АУ'!P154)</f>
        <v>0</v>
      </c>
      <c r="Q154" s="33">
        <f>SUM('ДОУ БУ'!Q154+'ДОУ АУ'!Q154)</f>
        <v>0</v>
      </c>
      <c r="R154" s="33">
        <f>SUM('ДОУ БУ'!R154+'ДОУ АУ'!R154)</f>
        <v>0</v>
      </c>
      <c r="S154" s="33">
        <f>SUM('ДОУ БУ'!S154+'ДОУ АУ'!S154)</f>
        <v>0</v>
      </c>
      <c r="T154" s="33">
        <f>SUM('ДОУ БУ'!T154+'ДОУ АУ'!T154)</f>
        <v>0</v>
      </c>
    </row>
    <row r="155" spans="1:20" s="6" customFormat="1" ht="16.5" hidden="1" x14ac:dyDescent="0.25">
      <c r="A155" s="63" t="s">
        <v>170</v>
      </c>
      <c r="B155" s="28" t="s">
        <v>171</v>
      </c>
      <c r="C155" s="51">
        <v>226</v>
      </c>
      <c r="D155" s="33">
        <f t="shared" si="41"/>
        <v>0</v>
      </c>
      <c r="E155" s="33">
        <f t="shared" si="42"/>
        <v>0</v>
      </c>
      <c r="F155" s="33"/>
      <c r="G155" s="33">
        <f>SUM('ДОУ БУ'!G155+'ДОУ АУ'!G155)</f>
        <v>0</v>
      </c>
      <c r="H155" s="33"/>
      <c r="I155" s="33">
        <f>SUM('ДОУ БУ'!I155+'ДОУ АУ'!I155)</f>
        <v>0</v>
      </c>
      <c r="J155" s="33"/>
      <c r="K155" s="33">
        <f>SUM('ДОУ БУ'!K155+'ДОУ АУ'!K155)</f>
        <v>0</v>
      </c>
      <c r="L155" s="33"/>
      <c r="M155" s="33">
        <f>SUM('ДОУ БУ'!M155+'ДОУ АУ'!M155)</f>
        <v>0</v>
      </c>
      <c r="N155" s="33"/>
      <c r="O155" s="33">
        <f>SUM('ДОУ БУ'!O155+'ДОУ АУ'!O155)</f>
        <v>0</v>
      </c>
      <c r="P155" s="33"/>
      <c r="Q155" s="33"/>
      <c r="R155" s="33"/>
      <c r="S155" s="33">
        <f>SUM('ДОУ БУ'!S155+'ДОУ АУ'!S155)</f>
        <v>0</v>
      </c>
      <c r="T155" s="33">
        <f>SUM('ДОУ БУ'!T155+'ДОУ АУ'!T155)</f>
        <v>0</v>
      </c>
    </row>
    <row r="156" spans="1:20" s="6" customFormat="1" ht="16.5" hidden="1" x14ac:dyDescent="0.25">
      <c r="A156" s="63" t="s">
        <v>170</v>
      </c>
      <c r="B156" s="28" t="s">
        <v>171</v>
      </c>
      <c r="C156" s="51">
        <v>310</v>
      </c>
      <c r="D156" s="33">
        <f t="shared" si="41"/>
        <v>0</v>
      </c>
      <c r="E156" s="33">
        <f t="shared" si="42"/>
        <v>0</v>
      </c>
      <c r="F156" s="33"/>
      <c r="G156" s="33">
        <f>SUM('ДОУ БУ'!G156+'ДОУ АУ'!G156)</f>
        <v>0</v>
      </c>
      <c r="H156" s="33"/>
      <c r="I156" s="33">
        <f>SUM('ДОУ БУ'!I156+'ДОУ АУ'!I156)</f>
        <v>0</v>
      </c>
      <c r="J156" s="33"/>
      <c r="K156" s="33">
        <f>SUM('ДОУ БУ'!K156+'ДОУ АУ'!K156)</f>
        <v>0</v>
      </c>
      <c r="L156" s="33"/>
      <c r="M156" s="33">
        <f>SUM('ДОУ БУ'!M156+'ДОУ АУ'!M156)</f>
        <v>0</v>
      </c>
      <c r="N156" s="33"/>
      <c r="O156" s="33">
        <f>SUM('ДОУ БУ'!O156+'ДОУ АУ'!O156)</f>
        <v>0</v>
      </c>
      <c r="P156" s="33"/>
      <c r="Q156" s="33"/>
      <c r="R156" s="33"/>
      <c r="S156" s="33">
        <f>SUM('ДОУ БУ'!S156+'ДОУ АУ'!S156)</f>
        <v>0</v>
      </c>
      <c r="T156" s="33">
        <f>SUM('ДОУ БУ'!T156+'ДОУ АУ'!T156)</f>
        <v>0</v>
      </c>
    </row>
    <row r="157" spans="1:20" s="6" customFormat="1" ht="33" hidden="1" x14ac:dyDescent="0.25">
      <c r="A157" s="63" t="s">
        <v>172</v>
      </c>
      <c r="B157" s="28" t="s">
        <v>173</v>
      </c>
      <c r="C157" s="51">
        <v>226</v>
      </c>
      <c r="D157" s="33">
        <f t="shared" si="41"/>
        <v>0</v>
      </c>
      <c r="E157" s="33">
        <f t="shared" si="42"/>
        <v>0</v>
      </c>
      <c r="F157" s="33"/>
      <c r="G157" s="33">
        <f>SUM('ДОУ БУ'!G157+'ДОУ АУ'!G157)</f>
        <v>0</v>
      </c>
      <c r="H157" s="33"/>
      <c r="I157" s="33">
        <f>SUM('ДОУ БУ'!I157+'ДОУ АУ'!I157)</f>
        <v>0</v>
      </c>
      <c r="J157" s="33"/>
      <c r="K157" s="33">
        <f>SUM('ДОУ БУ'!K157+'ДОУ АУ'!K157)</f>
        <v>0</v>
      </c>
      <c r="L157" s="33"/>
      <c r="M157" s="33">
        <f>SUM('ДОУ БУ'!M157+'ДОУ АУ'!M157)</f>
        <v>0</v>
      </c>
      <c r="N157" s="33"/>
      <c r="O157" s="33">
        <f>SUM('ДОУ БУ'!O157+'ДОУ АУ'!O157)</f>
        <v>0</v>
      </c>
      <c r="P157" s="33"/>
      <c r="Q157" s="33"/>
      <c r="R157" s="33"/>
      <c r="S157" s="33">
        <f>SUM('ДОУ БУ'!S157+'ДОУ АУ'!S157)</f>
        <v>0</v>
      </c>
      <c r="T157" s="33">
        <f>SUM('ДОУ БУ'!T157+'ДОУ АУ'!T157)</f>
        <v>0</v>
      </c>
    </row>
    <row r="158" spans="1:20" s="6" customFormat="1" ht="33" hidden="1" x14ac:dyDescent="0.25">
      <c r="A158" s="63" t="s">
        <v>172</v>
      </c>
      <c r="B158" s="28" t="s">
        <v>174</v>
      </c>
      <c r="C158" s="51">
        <v>310</v>
      </c>
      <c r="D158" s="33">
        <f t="shared" si="41"/>
        <v>0</v>
      </c>
      <c r="E158" s="33">
        <f t="shared" si="42"/>
        <v>0</v>
      </c>
      <c r="F158" s="33"/>
      <c r="G158" s="33">
        <f>SUM('ДОУ БУ'!G158+'ДОУ АУ'!G158)</f>
        <v>0</v>
      </c>
      <c r="H158" s="33"/>
      <c r="I158" s="33">
        <f>SUM('ДОУ БУ'!I158+'ДОУ АУ'!I158)</f>
        <v>0</v>
      </c>
      <c r="J158" s="33"/>
      <c r="K158" s="33">
        <f>SUM('ДОУ БУ'!K158+'ДОУ АУ'!K158)</f>
        <v>0</v>
      </c>
      <c r="L158" s="33"/>
      <c r="M158" s="33">
        <f>SUM('ДОУ БУ'!M158+'ДОУ АУ'!M158)</f>
        <v>0</v>
      </c>
      <c r="N158" s="33"/>
      <c r="O158" s="33">
        <f>SUM('ДОУ БУ'!O158+'ДОУ АУ'!O158)</f>
        <v>0</v>
      </c>
      <c r="P158" s="33"/>
      <c r="Q158" s="33"/>
      <c r="R158" s="33"/>
      <c r="S158" s="33">
        <f>SUM('ДОУ БУ'!S158+'ДОУ АУ'!S158)</f>
        <v>0</v>
      </c>
      <c r="T158" s="33">
        <f>SUM('ДОУ БУ'!T158+'ДОУ АУ'!T158)</f>
        <v>0</v>
      </c>
    </row>
    <row r="159" spans="1:20" s="6" customFormat="1" ht="33" hidden="1" x14ac:dyDescent="0.25">
      <c r="A159" s="63" t="s">
        <v>175</v>
      </c>
      <c r="B159" s="28" t="s">
        <v>176</v>
      </c>
      <c r="C159" s="51">
        <v>226</v>
      </c>
      <c r="D159" s="33">
        <f t="shared" si="41"/>
        <v>0</v>
      </c>
      <c r="E159" s="33">
        <f t="shared" si="42"/>
        <v>0</v>
      </c>
      <c r="F159" s="33"/>
      <c r="G159" s="33">
        <f>SUM('ДОУ БУ'!G159+'ДОУ АУ'!G159)</f>
        <v>0</v>
      </c>
      <c r="H159" s="33"/>
      <c r="I159" s="33">
        <f>SUM('ДОУ БУ'!I159+'ДОУ АУ'!I159)</f>
        <v>0</v>
      </c>
      <c r="J159" s="33"/>
      <c r="K159" s="33">
        <f>SUM('ДОУ БУ'!K159+'ДОУ АУ'!K159)</f>
        <v>0</v>
      </c>
      <c r="L159" s="33"/>
      <c r="M159" s="33">
        <f>SUM('ДОУ БУ'!M159+'ДОУ АУ'!M159)</f>
        <v>0</v>
      </c>
      <c r="N159" s="33"/>
      <c r="O159" s="33">
        <f>SUM('ДОУ БУ'!O159+'ДОУ АУ'!O159)</f>
        <v>0</v>
      </c>
      <c r="P159" s="33"/>
      <c r="Q159" s="33"/>
      <c r="R159" s="33"/>
      <c r="S159" s="33">
        <f>SUM('ДОУ БУ'!S159+'ДОУ АУ'!S159)</f>
        <v>0</v>
      </c>
      <c r="T159" s="33">
        <f>SUM('ДОУ БУ'!T159+'ДОУ АУ'!T159)</f>
        <v>0</v>
      </c>
    </row>
    <row r="160" spans="1:20" s="6" customFormat="1" ht="16.5" hidden="1" x14ac:dyDescent="0.25">
      <c r="A160" s="63" t="s">
        <v>177</v>
      </c>
      <c r="B160" s="28" t="s">
        <v>178</v>
      </c>
      <c r="C160" s="51">
        <v>310</v>
      </c>
      <c r="D160" s="33">
        <f t="shared" si="41"/>
        <v>0</v>
      </c>
      <c r="E160" s="33">
        <f t="shared" si="42"/>
        <v>0</v>
      </c>
      <c r="F160" s="33"/>
      <c r="G160" s="33">
        <f>SUM('ДОУ БУ'!G160+'ДОУ АУ'!G160)</f>
        <v>0</v>
      </c>
      <c r="H160" s="33"/>
      <c r="I160" s="33">
        <f>SUM('ДОУ БУ'!I160+'ДОУ АУ'!I160)</f>
        <v>0</v>
      </c>
      <c r="J160" s="33"/>
      <c r="K160" s="33">
        <f>SUM('ДОУ БУ'!K160+'ДОУ АУ'!K160)</f>
        <v>0</v>
      </c>
      <c r="L160" s="33"/>
      <c r="M160" s="33">
        <f>SUM('ДОУ БУ'!M160+'ДОУ АУ'!M160)</f>
        <v>0</v>
      </c>
      <c r="N160" s="33"/>
      <c r="O160" s="33">
        <f>SUM('ДОУ БУ'!O160+'ДОУ АУ'!O160)</f>
        <v>0</v>
      </c>
      <c r="P160" s="33"/>
      <c r="Q160" s="33"/>
      <c r="R160" s="33"/>
      <c r="S160" s="33">
        <f>SUM('ДОУ БУ'!S160+'ДОУ АУ'!S160)</f>
        <v>0</v>
      </c>
      <c r="T160" s="33">
        <f>SUM('ДОУ БУ'!T160+'ДОУ АУ'!T160)</f>
        <v>0</v>
      </c>
    </row>
    <row r="161" spans="1:20" s="6" customFormat="1" ht="33" hidden="1" x14ac:dyDescent="0.25">
      <c r="A161" s="63" t="s">
        <v>179</v>
      </c>
      <c r="B161" s="28" t="s">
        <v>180</v>
      </c>
      <c r="C161" s="51">
        <v>226</v>
      </c>
      <c r="D161" s="33">
        <f t="shared" si="41"/>
        <v>0</v>
      </c>
      <c r="E161" s="33">
        <f t="shared" si="42"/>
        <v>0</v>
      </c>
      <c r="F161" s="33"/>
      <c r="G161" s="33">
        <f>SUM('ДОУ БУ'!G161+'ДОУ АУ'!G161)</f>
        <v>0</v>
      </c>
      <c r="H161" s="33"/>
      <c r="I161" s="33">
        <f>SUM('ДОУ БУ'!I161+'ДОУ АУ'!I161)</f>
        <v>0</v>
      </c>
      <c r="J161" s="33"/>
      <c r="K161" s="33">
        <f>SUM('ДОУ БУ'!K161+'ДОУ АУ'!K161)</f>
        <v>0</v>
      </c>
      <c r="L161" s="33"/>
      <c r="M161" s="33">
        <f>SUM('ДОУ БУ'!M161+'ДОУ АУ'!M161)</f>
        <v>0</v>
      </c>
      <c r="N161" s="33"/>
      <c r="O161" s="33">
        <f>SUM('ДОУ БУ'!O161+'ДОУ АУ'!O161)</f>
        <v>0</v>
      </c>
      <c r="P161" s="33"/>
      <c r="Q161" s="33"/>
      <c r="R161" s="33"/>
      <c r="S161" s="33">
        <f>SUM('ДОУ БУ'!S161+'ДОУ АУ'!S161)</f>
        <v>0</v>
      </c>
      <c r="T161" s="33">
        <f>SUM('ДОУ БУ'!T161+'ДОУ АУ'!T161)</f>
        <v>0</v>
      </c>
    </row>
    <row r="162" spans="1:20" s="6" customFormat="1" ht="33" hidden="1" x14ac:dyDescent="0.25">
      <c r="A162" s="63" t="s">
        <v>181</v>
      </c>
      <c r="B162" s="28" t="s">
        <v>182</v>
      </c>
      <c r="C162" s="51">
        <v>226</v>
      </c>
      <c r="D162" s="33">
        <f t="shared" si="41"/>
        <v>0</v>
      </c>
      <c r="E162" s="33">
        <f t="shared" si="42"/>
        <v>0</v>
      </c>
      <c r="F162" s="33"/>
      <c r="G162" s="33">
        <f>SUM('ДОУ БУ'!G162+'ДОУ АУ'!G162)</f>
        <v>0</v>
      </c>
      <c r="H162" s="33"/>
      <c r="I162" s="33">
        <f>SUM('ДОУ БУ'!I162+'ДОУ АУ'!I162)</f>
        <v>0</v>
      </c>
      <c r="J162" s="33"/>
      <c r="K162" s="33">
        <f>SUM('ДОУ БУ'!K162+'ДОУ АУ'!K162)</f>
        <v>0</v>
      </c>
      <c r="L162" s="33"/>
      <c r="M162" s="33">
        <f>SUM('ДОУ БУ'!M162+'ДОУ АУ'!M162)</f>
        <v>0</v>
      </c>
      <c r="N162" s="33"/>
      <c r="O162" s="33">
        <f>SUM('ДОУ БУ'!O162+'ДОУ АУ'!O162)</f>
        <v>0</v>
      </c>
      <c r="P162" s="33"/>
      <c r="Q162" s="33"/>
      <c r="R162" s="33"/>
      <c r="S162" s="33">
        <f>SUM('ДОУ БУ'!S162+'ДОУ АУ'!S162)</f>
        <v>0</v>
      </c>
      <c r="T162" s="33">
        <f>SUM('ДОУ БУ'!T162+'ДОУ АУ'!T162)</f>
        <v>0</v>
      </c>
    </row>
    <row r="163" spans="1:20" s="6" customFormat="1" ht="33" hidden="1" x14ac:dyDescent="0.25">
      <c r="A163" s="63" t="s">
        <v>183</v>
      </c>
      <c r="B163" s="28" t="s">
        <v>184</v>
      </c>
      <c r="C163" s="51">
        <v>310</v>
      </c>
      <c r="D163" s="33">
        <f t="shared" si="41"/>
        <v>0</v>
      </c>
      <c r="E163" s="33">
        <f t="shared" si="42"/>
        <v>0</v>
      </c>
      <c r="F163" s="33"/>
      <c r="G163" s="33">
        <f>SUM('ДОУ БУ'!G163+'ДОУ АУ'!G163)</f>
        <v>0</v>
      </c>
      <c r="H163" s="33"/>
      <c r="I163" s="33">
        <f>SUM('ДОУ БУ'!I163+'ДОУ АУ'!I163)</f>
        <v>0</v>
      </c>
      <c r="J163" s="33"/>
      <c r="K163" s="33">
        <f>SUM('ДОУ БУ'!K163+'ДОУ АУ'!K163)</f>
        <v>0</v>
      </c>
      <c r="L163" s="33"/>
      <c r="M163" s="33">
        <f>SUM('ДОУ БУ'!M163+'ДОУ АУ'!M163)</f>
        <v>0</v>
      </c>
      <c r="N163" s="33"/>
      <c r="O163" s="33">
        <f>SUM('ДОУ БУ'!O163+'ДОУ АУ'!O163)</f>
        <v>0</v>
      </c>
      <c r="P163" s="33"/>
      <c r="Q163" s="33"/>
      <c r="R163" s="33"/>
      <c r="S163" s="33">
        <f>SUM('ДОУ БУ'!S163+'ДОУ АУ'!S163)</f>
        <v>0</v>
      </c>
      <c r="T163" s="33">
        <f>SUM('ДОУ БУ'!T163+'ДОУ АУ'!T163)</f>
        <v>0</v>
      </c>
    </row>
    <row r="164" spans="1:20" s="6" customFormat="1" ht="16.5" hidden="1" x14ac:dyDescent="0.25">
      <c r="A164" s="63" t="s">
        <v>185</v>
      </c>
      <c r="B164" s="28" t="s">
        <v>186</v>
      </c>
      <c r="C164" s="51">
        <v>310</v>
      </c>
      <c r="D164" s="33">
        <f t="shared" si="41"/>
        <v>0</v>
      </c>
      <c r="E164" s="33">
        <f t="shared" si="42"/>
        <v>0</v>
      </c>
      <c r="F164" s="33"/>
      <c r="G164" s="33">
        <f>SUM('ДОУ БУ'!G164+'ДОУ АУ'!G164)</f>
        <v>0</v>
      </c>
      <c r="H164" s="33"/>
      <c r="I164" s="33">
        <f>SUM('ДОУ БУ'!I164+'ДОУ АУ'!I164)</f>
        <v>0</v>
      </c>
      <c r="J164" s="33"/>
      <c r="K164" s="33">
        <f>SUM('ДОУ БУ'!K164+'ДОУ АУ'!K164)</f>
        <v>0</v>
      </c>
      <c r="L164" s="33"/>
      <c r="M164" s="33">
        <f>SUM('ДОУ БУ'!M164+'ДОУ АУ'!M164)</f>
        <v>0</v>
      </c>
      <c r="N164" s="33"/>
      <c r="O164" s="33">
        <f>SUM('ДОУ БУ'!O164+'ДОУ АУ'!O164)</f>
        <v>0</v>
      </c>
      <c r="P164" s="33"/>
      <c r="Q164" s="33"/>
      <c r="R164" s="33"/>
      <c r="S164" s="33">
        <f>SUM('ДОУ БУ'!S164+'ДОУ АУ'!S164)</f>
        <v>0</v>
      </c>
      <c r="T164" s="33">
        <f>SUM('ДОУ БУ'!T164+'ДОУ АУ'!T164)</f>
        <v>0</v>
      </c>
    </row>
    <row r="165" spans="1:20" s="20" customFormat="1" ht="34.5" hidden="1" x14ac:dyDescent="0.25">
      <c r="A165" s="59" t="s">
        <v>29</v>
      </c>
      <c r="B165" s="48" t="s">
        <v>44</v>
      </c>
      <c r="C165" s="54"/>
      <c r="D165" s="33">
        <f t="shared" si="41"/>
        <v>0</v>
      </c>
      <c r="E165" s="33">
        <f t="shared" si="42"/>
        <v>0</v>
      </c>
      <c r="F165" s="33"/>
      <c r="G165" s="33">
        <f>SUM('ДОУ БУ'!G165+'ДОУ АУ'!G165)</f>
        <v>0</v>
      </c>
      <c r="H165" s="25"/>
      <c r="I165" s="25">
        <f t="shared" ref="I165:T165" si="43">SUM(I166)</f>
        <v>0</v>
      </c>
      <c r="J165" s="25"/>
      <c r="K165" s="25">
        <f t="shared" si="43"/>
        <v>0</v>
      </c>
      <c r="L165" s="25"/>
      <c r="M165" s="25">
        <f t="shared" si="43"/>
        <v>0</v>
      </c>
      <c r="N165" s="25"/>
      <c r="O165" s="25">
        <f t="shared" si="43"/>
        <v>0</v>
      </c>
      <c r="P165" s="25"/>
      <c r="Q165" s="25"/>
      <c r="R165" s="25"/>
      <c r="S165" s="25">
        <f t="shared" si="43"/>
        <v>0</v>
      </c>
      <c r="T165" s="25">
        <f t="shared" si="43"/>
        <v>0</v>
      </c>
    </row>
    <row r="166" spans="1:20" s="22" customFormat="1" ht="33" hidden="1" x14ac:dyDescent="0.25">
      <c r="A166" s="52" t="s">
        <v>187</v>
      </c>
      <c r="B166" s="28" t="s">
        <v>188</v>
      </c>
      <c r="C166" s="55">
        <v>225</v>
      </c>
      <c r="D166" s="33">
        <f t="shared" si="41"/>
        <v>0</v>
      </c>
      <c r="E166" s="33">
        <f t="shared" si="42"/>
        <v>0</v>
      </c>
      <c r="F166" s="33"/>
      <c r="G166" s="33">
        <f>SUM('ДОУ БУ'!G166+'ДОУ АУ'!G166)</f>
        <v>0</v>
      </c>
      <c r="H166" s="33"/>
      <c r="I166" s="33">
        <f>SUM('ДОУ БУ'!I166+'ДОУ АУ'!I166)</f>
        <v>0</v>
      </c>
      <c r="J166" s="33"/>
      <c r="K166" s="33">
        <f>SUM('ДОУ БУ'!K166+'ДОУ АУ'!K166)</f>
        <v>0</v>
      </c>
      <c r="L166" s="33"/>
      <c r="M166" s="33">
        <f>SUM('ДОУ БУ'!M166+'ДОУ АУ'!M166)</f>
        <v>0</v>
      </c>
      <c r="N166" s="33"/>
      <c r="O166" s="33">
        <f>SUM('ДОУ БУ'!O166+'ДОУ АУ'!O166)</f>
        <v>0</v>
      </c>
      <c r="P166" s="33"/>
      <c r="Q166" s="33"/>
      <c r="R166" s="33"/>
      <c r="S166" s="33">
        <f>SUM('ДОУ БУ'!S166+'ДОУ АУ'!S166)</f>
        <v>0</v>
      </c>
      <c r="T166" s="33">
        <f>SUM('ДОУ БУ'!T166+'ДОУ АУ'!T166)</f>
        <v>0</v>
      </c>
    </row>
    <row r="167" spans="1:20" s="22" customFormat="1" ht="16.5" hidden="1" x14ac:dyDescent="0.25">
      <c r="A167" s="52"/>
      <c r="B167" s="28"/>
      <c r="C167" s="55"/>
      <c r="D167" s="33">
        <f t="shared" si="41"/>
        <v>0</v>
      </c>
      <c r="E167" s="33">
        <f t="shared" si="42"/>
        <v>0</v>
      </c>
      <c r="F167" s="33"/>
      <c r="G167" s="33">
        <f>SUM('ДОУ БУ'!G167+'ДОУ АУ'!G167)</f>
        <v>0</v>
      </c>
      <c r="H167" s="33"/>
      <c r="I167" s="33">
        <f>SUM('ДОУ БУ'!I167+'ДОУ АУ'!I167)</f>
        <v>0</v>
      </c>
      <c r="J167" s="33"/>
      <c r="K167" s="33">
        <f>SUM('ДОУ БУ'!K167+'ДОУ АУ'!K167)</f>
        <v>0</v>
      </c>
      <c r="L167" s="33"/>
      <c r="M167" s="33">
        <f>SUM('ДОУ БУ'!M167+'ДОУ АУ'!M167)</f>
        <v>0</v>
      </c>
      <c r="N167" s="33"/>
      <c r="O167" s="33">
        <f>SUM('ДОУ БУ'!O167+'ДОУ АУ'!O167)</f>
        <v>0</v>
      </c>
      <c r="P167" s="33"/>
      <c r="Q167" s="33"/>
      <c r="R167" s="33"/>
      <c r="S167" s="33">
        <f>SUM('ДОУ БУ'!S167+'ДОУ АУ'!S167)</f>
        <v>0</v>
      </c>
      <c r="T167" s="33">
        <f>SUM('ДОУ БУ'!T167+'ДОУ АУ'!T167)</f>
        <v>0</v>
      </c>
    </row>
    <row r="168" spans="1:20" s="20" customFormat="1" ht="69" x14ac:dyDescent="0.25">
      <c r="A168" s="53" t="s">
        <v>31</v>
      </c>
      <c r="B168" s="48" t="s">
        <v>189</v>
      </c>
      <c r="C168" s="54"/>
      <c r="D168" s="25">
        <f t="shared" ref="D168:T168" si="44">SUM(D169:D173)</f>
        <v>2129221</v>
      </c>
      <c r="E168" s="25">
        <f t="shared" si="44"/>
        <v>399979.2</v>
      </c>
      <c r="F168" s="25"/>
      <c r="G168" s="25">
        <f t="shared" si="44"/>
        <v>2129221</v>
      </c>
      <c r="H168" s="25">
        <f t="shared" si="44"/>
        <v>399979.2</v>
      </c>
      <c r="I168" s="25">
        <f t="shared" si="44"/>
        <v>0</v>
      </c>
      <c r="J168" s="25">
        <f t="shared" si="44"/>
        <v>0</v>
      </c>
      <c r="K168" s="25">
        <f t="shared" si="44"/>
        <v>0</v>
      </c>
      <c r="L168" s="25">
        <f t="shared" si="44"/>
        <v>0</v>
      </c>
      <c r="M168" s="25">
        <f t="shared" si="44"/>
        <v>0</v>
      </c>
      <c r="N168" s="25">
        <f t="shared" si="44"/>
        <v>0</v>
      </c>
      <c r="O168" s="25">
        <f t="shared" si="44"/>
        <v>0</v>
      </c>
      <c r="P168" s="25">
        <f t="shared" si="44"/>
        <v>0</v>
      </c>
      <c r="Q168" s="25">
        <f t="shared" si="44"/>
        <v>0</v>
      </c>
      <c r="R168" s="25">
        <f t="shared" si="44"/>
        <v>0</v>
      </c>
      <c r="S168" s="25">
        <f t="shared" si="44"/>
        <v>0</v>
      </c>
      <c r="T168" s="25">
        <f t="shared" si="44"/>
        <v>0</v>
      </c>
    </row>
    <row r="169" spans="1:20" s="22" customFormat="1" ht="49.5" hidden="1" x14ac:dyDescent="0.25">
      <c r="A169" s="52" t="s">
        <v>190</v>
      </c>
      <c r="B169" s="28" t="s">
        <v>191</v>
      </c>
      <c r="C169" s="55"/>
      <c r="D169" s="33">
        <f t="shared" si="41"/>
        <v>0</v>
      </c>
      <c r="E169" s="33">
        <f t="shared" si="42"/>
        <v>0</v>
      </c>
      <c r="F169" s="33"/>
      <c r="G169" s="33">
        <f>SUM('ДОУ БУ'!G169+'ДОУ АУ'!G169)</f>
        <v>0</v>
      </c>
      <c r="H169" s="33"/>
      <c r="I169" s="33">
        <f>SUM('ДОУ БУ'!I169+'ДОУ АУ'!I169)</f>
        <v>0</v>
      </c>
      <c r="J169" s="33"/>
      <c r="K169" s="33">
        <f>SUM('ДОУ БУ'!K169+'ДОУ АУ'!K169)</f>
        <v>0</v>
      </c>
      <c r="L169" s="33"/>
      <c r="M169" s="33">
        <f>SUM('ДОУ БУ'!M169+'ДОУ АУ'!M169)</f>
        <v>0</v>
      </c>
      <c r="N169" s="33"/>
      <c r="O169" s="33">
        <f>SUM('ДОУ БУ'!O169+'ДОУ АУ'!O169)</f>
        <v>0</v>
      </c>
      <c r="P169" s="33"/>
      <c r="Q169" s="33"/>
      <c r="R169" s="33"/>
      <c r="S169" s="33">
        <f>SUM('ДОУ БУ'!S169+'ДОУ АУ'!S169)</f>
        <v>0</v>
      </c>
      <c r="T169" s="33">
        <f>SUM('ДОУ БУ'!T169+'ДОУ АУ'!T169)</f>
        <v>0</v>
      </c>
    </row>
    <row r="170" spans="1:20" s="22" customFormat="1" ht="49.5" x14ac:dyDescent="0.25">
      <c r="A170" s="52" t="s">
        <v>192</v>
      </c>
      <c r="B170" s="28" t="s">
        <v>281</v>
      </c>
      <c r="C170" s="55">
        <v>226</v>
      </c>
      <c r="D170" s="33">
        <f t="shared" si="41"/>
        <v>932577</v>
      </c>
      <c r="E170" s="33">
        <f t="shared" si="42"/>
        <v>188577.2</v>
      </c>
      <c r="F170" s="33"/>
      <c r="G170" s="33">
        <f>SUM('ДОУ БУ'!G170+'ДОУ АУ'!G170)</f>
        <v>932577</v>
      </c>
      <c r="H170" s="33">
        <f>SUM('ДОУ БУ'!H170+'ДОУ АУ'!H170)</f>
        <v>188577.2</v>
      </c>
      <c r="I170" s="33">
        <f>SUM('ДОУ БУ'!I170+'ДОУ АУ'!I170)</f>
        <v>0</v>
      </c>
      <c r="J170" s="33">
        <f>SUM('ДОУ БУ'!J170+'ДОУ АУ'!J170)</f>
        <v>0</v>
      </c>
      <c r="K170" s="33">
        <f>SUM('ДОУ БУ'!K170+'ДОУ АУ'!K170)</f>
        <v>0</v>
      </c>
      <c r="L170" s="33">
        <f>SUM('ДОУ БУ'!L170+'ДОУ АУ'!L170)</f>
        <v>0</v>
      </c>
      <c r="M170" s="33">
        <f>SUM('ДОУ БУ'!M170+'ДОУ АУ'!M170)</f>
        <v>0</v>
      </c>
      <c r="N170" s="33">
        <f>SUM('ДОУ БУ'!N170+'ДОУ АУ'!N170)</f>
        <v>0</v>
      </c>
      <c r="O170" s="33">
        <f>SUM('ДОУ БУ'!O170+'ДОУ АУ'!O170)</f>
        <v>0</v>
      </c>
      <c r="P170" s="33">
        <f>SUM('ДОУ БУ'!P170+'ДОУ АУ'!P170)</f>
        <v>0</v>
      </c>
      <c r="Q170" s="33">
        <f>SUM('ДОУ БУ'!Q170+'ДОУ АУ'!Q170)</f>
        <v>0</v>
      </c>
      <c r="R170" s="33">
        <f>SUM('ДОУ БУ'!R170+'ДОУ АУ'!R170)</f>
        <v>0</v>
      </c>
      <c r="S170" s="33">
        <f>SUM('ДОУ БУ'!S170+'ДОУ АУ'!S170)</f>
        <v>0</v>
      </c>
      <c r="T170" s="33">
        <f>SUM('ДОУ БУ'!T170+'ДОУ АУ'!T170)</f>
        <v>0</v>
      </c>
    </row>
    <row r="171" spans="1:20" s="22" customFormat="1" ht="49.5" x14ac:dyDescent="0.25">
      <c r="A171" s="52" t="s">
        <v>192</v>
      </c>
      <c r="B171" s="28" t="s">
        <v>281</v>
      </c>
      <c r="C171" s="55">
        <v>310</v>
      </c>
      <c r="D171" s="33">
        <f t="shared" si="41"/>
        <v>1072872</v>
      </c>
      <c r="E171" s="33">
        <f t="shared" si="42"/>
        <v>187630</v>
      </c>
      <c r="F171" s="33"/>
      <c r="G171" s="33">
        <f>SUM('ДОУ БУ'!G171+'ДОУ АУ'!G171)</f>
        <v>1072872</v>
      </c>
      <c r="H171" s="33">
        <f>SUM('ДОУ БУ'!H171+'ДОУ АУ'!H171)</f>
        <v>187630</v>
      </c>
      <c r="I171" s="33">
        <f>SUM('ДОУ БУ'!I171+'ДОУ АУ'!I171)</f>
        <v>0</v>
      </c>
      <c r="J171" s="33">
        <f>SUM('ДОУ БУ'!J171+'ДОУ АУ'!J171)</f>
        <v>0</v>
      </c>
      <c r="K171" s="33">
        <f>SUM('ДОУ БУ'!K171+'ДОУ АУ'!K171)</f>
        <v>0</v>
      </c>
      <c r="L171" s="33">
        <f>SUM('ДОУ БУ'!L171+'ДОУ АУ'!L171)</f>
        <v>0</v>
      </c>
      <c r="M171" s="33">
        <f>SUM('ДОУ БУ'!M171+'ДОУ АУ'!M171)</f>
        <v>0</v>
      </c>
      <c r="N171" s="33">
        <f>SUM('ДОУ БУ'!N171+'ДОУ АУ'!N171)</f>
        <v>0</v>
      </c>
      <c r="O171" s="33">
        <f>SUM('ДОУ БУ'!O171+'ДОУ АУ'!O171)</f>
        <v>0</v>
      </c>
      <c r="P171" s="33">
        <f>SUM('ДОУ БУ'!P171+'ДОУ АУ'!P171)</f>
        <v>0</v>
      </c>
      <c r="Q171" s="33">
        <f>SUM('ДОУ БУ'!Q171+'ДОУ АУ'!Q171)</f>
        <v>0</v>
      </c>
      <c r="R171" s="33">
        <f>SUM('ДОУ БУ'!R171+'ДОУ АУ'!R171)</f>
        <v>0</v>
      </c>
      <c r="S171" s="33">
        <f>SUM('ДОУ БУ'!S171+'ДОУ АУ'!S171)</f>
        <v>0</v>
      </c>
      <c r="T171" s="33">
        <f>SUM('ДОУ БУ'!T171+'ДОУ АУ'!T171)</f>
        <v>0</v>
      </c>
    </row>
    <row r="172" spans="1:20" s="22" customFormat="1" ht="49.5" x14ac:dyDescent="0.25">
      <c r="A172" s="52" t="s">
        <v>192</v>
      </c>
      <c r="B172" s="28" t="s">
        <v>281</v>
      </c>
      <c r="C172" s="55">
        <v>340</v>
      </c>
      <c r="D172" s="33">
        <f t="shared" si="41"/>
        <v>123772</v>
      </c>
      <c r="E172" s="33">
        <f t="shared" si="42"/>
        <v>23772</v>
      </c>
      <c r="F172" s="33"/>
      <c r="G172" s="33">
        <f>SUM('ДОУ БУ'!G172+'ДОУ АУ'!G172)</f>
        <v>123772</v>
      </c>
      <c r="H172" s="33">
        <f>SUM('ДОУ БУ'!H172+'ДОУ АУ'!H172)</f>
        <v>23772</v>
      </c>
      <c r="I172" s="33">
        <f>SUM('ДОУ БУ'!I172+'ДОУ АУ'!I172)</f>
        <v>0</v>
      </c>
      <c r="J172" s="33">
        <f>SUM('ДОУ БУ'!J172+'ДОУ АУ'!J172)</f>
        <v>0</v>
      </c>
      <c r="K172" s="33">
        <f>SUM('ДОУ БУ'!K172+'ДОУ АУ'!K172)</f>
        <v>0</v>
      </c>
      <c r="L172" s="33">
        <f>SUM('ДОУ БУ'!L172+'ДОУ АУ'!L172)</f>
        <v>0</v>
      </c>
      <c r="M172" s="33">
        <f>SUM('ДОУ БУ'!M172+'ДОУ АУ'!M172)</f>
        <v>0</v>
      </c>
      <c r="N172" s="33">
        <f>SUM('ДОУ БУ'!N172+'ДОУ АУ'!N172)</f>
        <v>0</v>
      </c>
      <c r="O172" s="33">
        <f>SUM('ДОУ БУ'!O172+'ДОУ АУ'!O172)</f>
        <v>0</v>
      </c>
      <c r="P172" s="33">
        <f>SUM('ДОУ БУ'!P172+'ДОУ АУ'!P172)</f>
        <v>0</v>
      </c>
      <c r="Q172" s="33">
        <f>SUM('ДОУ БУ'!Q172+'ДОУ АУ'!Q172)</f>
        <v>0</v>
      </c>
      <c r="R172" s="33">
        <f>SUM('ДОУ БУ'!R172+'ДОУ АУ'!R172)</f>
        <v>0</v>
      </c>
      <c r="S172" s="33">
        <f>SUM('ДОУ БУ'!S172+'ДОУ АУ'!S172)</f>
        <v>0</v>
      </c>
      <c r="T172" s="33">
        <f>SUM('ДОУ БУ'!T172+'ДОУ АУ'!T172)</f>
        <v>0</v>
      </c>
    </row>
    <row r="173" spans="1:20" s="22" customFormat="1" ht="33" hidden="1" x14ac:dyDescent="0.25">
      <c r="A173" s="52" t="s">
        <v>194</v>
      </c>
      <c r="B173" s="28" t="s">
        <v>195</v>
      </c>
      <c r="C173" s="55"/>
      <c r="D173" s="33">
        <f t="shared" si="41"/>
        <v>0</v>
      </c>
      <c r="E173" s="33">
        <f t="shared" si="42"/>
        <v>0</v>
      </c>
      <c r="F173" s="33"/>
      <c r="G173" s="33">
        <f>SUM('ДОУ БУ'!G173+'ДОУ АУ'!G173)</f>
        <v>0</v>
      </c>
      <c r="H173" s="33"/>
      <c r="I173" s="33">
        <f>SUM('ДОУ БУ'!I173+'ДОУ АУ'!I173)</f>
        <v>0</v>
      </c>
      <c r="J173" s="33"/>
      <c r="K173" s="33">
        <f>SUM('ДОУ БУ'!K173+'ДОУ АУ'!K173)</f>
        <v>0</v>
      </c>
      <c r="L173" s="33"/>
      <c r="M173" s="33">
        <f>SUM('ДОУ БУ'!M173+'ДОУ АУ'!M173)</f>
        <v>0</v>
      </c>
      <c r="N173" s="33"/>
      <c r="O173" s="33">
        <f>SUM('ДОУ БУ'!O173+'ДОУ АУ'!O173)</f>
        <v>0</v>
      </c>
      <c r="P173" s="33"/>
      <c r="Q173" s="33"/>
      <c r="R173" s="33"/>
      <c r="S173" s="33">
        <f>SUM('ДОУ БУ'!S173+'ДОУ АУ'!S173)</f>
        <v>0</v>
      </c>
      <c r="T173" s="33">
        <f>SUM('ДОУ БУ'!T173+'ДОУ АУ'!T173)</f>
        <v>0</v>
      </c>
    </row>
    <row r="174" spans="1:20" s="20" customFormat="1" ht="34.5" hidden="1" x14ac:dyDescent="0.25">
      <c r="A174" s="53" t="s">
        <v>33</v>
      </c>
      <c r="B174" s="48" t="s">
        <v>34</v>
      </c>
      <c r="C174" s="54"/>
      <c r="D174" s="33">
        <f t="shared" si="41"/>
        <v>0</v>
      </c>
      <c r="E174" s="33">
        <f t="shared" si="42"/>
        <v>0</v>
      </c>
      <c r="F174" s="33"/>
      <c r="G174" s="33">
        <f>SUM('ДОУ БУ'!G174+'ДОУ АУ'!G174)</f>
        <v>0</v>
      </c>
      <c r="H174" s="25"/>
      <c r="I174" s="25">
        <f t="shared" ref="I174:S174" si="45">SUM(I175:I179)</f>
        <v>0</v>
      </c>
      <c r="J174" s="25"/>
      <c r="K174" s="25">
        <f t="shared" si="45"/>
        <v>0</v>
      </c>
      <c r="L174" s="25"/>
      <c r="M174" s="25">
        <f t="shared" si="45"/>
        <v>0</v>
      </c>
      <c r="N174" s="25"/>
      <c r="O174" s="25">
        <f t="shared" si="45"/>
        <v>0</v>
      </c>
      <c r="P174" s="25"/>
      <c r="Q174" s="25"/>
      <c r="R174" s="25"/>
      <c r="S174" s="25">
        <f t="shared" si="45"/>
        <v>0</v>
      </c>
      <c r="T174" s="25">
        <f t="shared" ref="T174" si="46">SUM(T175:T179)</f>
        <v>0</v>
      </c>
    </row>
    <row r="175" spans="1:20" s="22" customFormat="1" ht="16.5" hidden="1" x14ac:dyDescent="0.25">
      <c r="A175" s="52" t="s">
        <v>196</v>
      </c>
      <c r="B175" s="28" t="s">
        <v>197</v>
      </c>
      <c r="C175" s="55"/>
      <c r="D175" s="33">
        <f t="shared" si="41"/>
        <v>0</v>
      </c>
      <c r="E175" s="33">
        <f t="shared" si="42"/>
        <v>0</v>
      </c>
      <c r="F175" s="33"/>
      <c r="G175" s="33">
        <f>SUM('ДОУ БУ'!G175+'ДОУ АУ'!G175)</f>
        <v>0</v>
      </c>
      <c r="H175" s="33"/>
      <c r="I175" s="33">
        <f>SUM('ДОУ БУ'!I175+'ДОУ АУ'!I175)</f>
        <v>0</v>
      </c>
      <c r="J175" s="33"/>
      <c r="K175" s="33">
        <f>SUM('ДОУ БУ'!K175+'ДОУ АУ'!K175)</f>
        <v>0</v>
      </c>
      <c r="L175" s="33"/>
      <c r="M175" s="33">
        <f>SUM('ДОУ БУ'!M175+'ДОУ АУ'!M175)</f>
        <v>0</v>
      </c>
      <c r="N175" s="33"/>
      <c r="O175" s="33">
        <f>SUM('ДОУ БУ'!O175+'ДОУ АУ'!O175)</f>
        <v>0</v>
      </c>
      <c r="P175" s="33"/>
      <c r="Q175" s="33"/>
      <c r="R175" s="33"/>
      <c r="S175" s="33">
        <f>SUM('ДОУ БУ'!S175+'ДОУ АУ'!S175)</f>
        <v>0</v>
      </c>
      <c r="T175" s="33">
        <f>SUM('ДОУ БУ'!T175+'ДОУ АУ'!T175)</f>
        <v>0</v>
      </c>
    </row>
    <row r="176" spans="1:20" s="22" customFormat="1" ht="16.5" hidden="1" x14ac:dyDescent="0.25">
      <c r="A176" s="52"/>
      <c r="B176" s="28" t="s">
        <v>47</v>
      </c>
      <c r="C176" s="55">
        <v>211</v>
      </c>
      <c r="D176" s="33">
        <f t="shared" si="41"/>
        <v>0</v>
      </c>
      <c r="E176" s="33">
        <f t="shared" si="42"/>
        <v>0</v>
      </c>
      <c r="F176" s="33"/>
      <c r="G176" s="33">
        <f>SUM('ДОУ БУ'!G176+'ДОУ АУ'!G176)</f>
        <v>0</v>
      </c>
      <c r="H176" s="33"/>
      <c r="I176" s="33">
        <f>SUM('ДОУ БУ'!I176+'ДОУ АУ'!I176)</f>
        <v>0</v>
      </c>
      <c r="J176" s="33"/>
      <c r="K176" s="33">
        <f>SUM('ДОУ БУ'!K176+'ДОУ АУ'!K176)</f>
        <v>0</v>
      </c>
      <c r="L176" s="33"/>
      <c r="M176" s="33">
        <f>SUM('ДОУ БУ'!M176+'ДОУ АУ'!M176)</f>
        <v>0</v>
      </c>
      <c r="N176" s="33"/>
      <c r="O176" s="33">
        <f>SUM('ДОУ БУ'!O176+'ДОУ АУ'!O176)</f>
        <v>0</v>
      </c>
      <c r="P176" s="33"/>
      <c r="Q176" s="33"/>
      <c r="R176" s="33"/>
      <c r="S176" s="33">
        <f>SUM('ДОУ БУ'!S176+'ДОУ АУ'!S176)</f>
        <v>0</v>
      </c>
      <c r="T176" s="33">
        <f>SUM('ДОУ БУ'!T176+'ДОУ АУ'!T176)</f>
        <v>0</v>
      </c>
    </row>
    <row r="177" spans="1:20" s="22" customFormat="1" ht="16.5" hidden="1" x14ac:dyDescent="0.25">
      <c r="A177" s="52"/>
      <c r="B177" s="28" t="s">
        <v>198</v>
      </c>
      <c r="C177" s="55">
        <v>213</v>
      </c>
      <c r="D177" s="33">
        <f t="shared" si="41"/>
        <v>0</v>
      </c>
      <c r="E177" s="33">
        <f t="shared" si="42"/>
        <v>0</v>
      </c>
      <c r="F177" s="33"/>
      <c r="G177" s="33">
        <f>SUM('ДОУ БУ'!G177+'ДОУ АУ'!G177)</f>
        <v>0</v>
      </c>
      <c r="H177" s="33"/>
      <c r="I177" s="33">
        <f>SUM('ДОУ БУ'!I177+'ДОУ АУ'!I177)</f>
        <v>0</v>
      </c>
      <c r="J177" s="33"/>
      <c r="K177" s="33">
        <f>SUM('ДОУ БУ'!K177+'ДОУ АУ'!K177)</f>
        <v>0</v>
      </c>
      <c r="L177" s="33"/>
      <c r="M177" s="33">
        <f>SUM('ДОУ БУ'!M177+'ДОУ АУ'!M177)</f>
        <v>0</v>
      </c>
      <c r="N177" s="33"/>
      <c r="O177" s="33">
        <f>SUM('ДОУ БУ'!O177+'ДОУ АУ'!O177)</f>
        <v>0</v>
      </c>
      <c r="P177" s="33"/>
      <c r="Q177" s="33"/>
      <c r="R177" s="33"/>
      <c r="S177" s="33">
        <f>SUM('ДОУ БУ'!S177+'ДОУ АУ'!S177)</f>
        <v>0</v>
      </c>
      <c r="T177" s="33">
        <f>SUM('ДОУ БУ'!T177+'ДОУ АУ'!T177)</f>
        <v>0</v>
      </c>
    </row>
    <row r="178" spans="1:20" s="22" customFormat="1" ht="16.5" hidden="1" x14ac:dyDescent="0.25">
      <c r="A178" s="52" t="s">
        <v>199</v>
      </c>
      <c r="B178" s="28" t="s">
        <v>200</v>
      </c>
      <c r="C178" s="55">
        <v>310</v>
      </c>
      <c r="D178" s="33">
        <f t="shared" si="41"/>
        <v>0</v>
      </c>
      <c r="E178" s="33">
        <f t="shared" si="42"/>
        <v>0</v>
      </c>
      <c r="F178" s="33"/>
      <c r="G178" s="33">
        <f>SUM('ДОУ БУ'!G178+'ДОУ АУ'!G178)</f>
        <v>0</v>
      </c>
      <c r="H178" s="33"/>
      <c r="I178" s="33">
        <f>SUM('ДОУ БУ'!I178+'ДОУ АУ'!I178)</f>
        <v>0</v>
      </c>
      <c r="J178" s="33"/>
      <c r="K178" s="33">
        <f>SUM('ДОУ БУ'!K178+'ДОУ АУ'!K178)</f>
        <v>0</v>
      </c>
      <c r="L178" s="33"/>
      <c r="M178" s="33">
        <f>SUM('ДОУ БУ'!M178+'ДОУ АУ'!M178)</f>
        <v>0</v>
      </c>
      <c r="N178" s="33"/>
      <c r="O178" s="33">
        <f>SUM('ДОУ БУ'!O178+'ДОУ АУ'!O178)</f>
        <v>0</v>
      </c>
      <c r="P178" s="33"/>
      <c r="Q178" s="33"/>
      <c r="R178" s="33"/>
      <c r="S178" s="33">
        <f>SUM('ДОУ БУ'!S178+'ДОУ АУ'!S178)</f>
        <v>0</v>
      </c>
      <c r="T178" s="33">
        <f>SUM('ДОУ БУ'!T178+'ДОУ АУ'!T178)</f>
        <v>0</v>
      </c>
    </row>
    <row r="179" spans="1:20" s="22" customFormat="1" ht="16.5" hidden="1" x14ac:dyDescent="0.25">
      <c r="A179" s="52" t="s">
        <v>201</v>
      </c>
      <c r="B179" s="28" t="s">
        <v>202</v>
      </c>
      <c r="C179" s="55">
        <v>340</v>
      </c>
      <c r="D179" s="33">
        <f t="shared" si="41"/>
        <v>0</v>
      </c>
      <c r="E179" s="33">
        <f t="shared" si="42"/>
        <v>0</v>
      </c>
      <c r="F179" s="33"/>
      <c r="G179" s="33">
        <f>SUM('ДОУ БУ'!G179+'ДОУ АУ'!G179)</f>
        <v>0</v>
      </c>
      <c r="H179" s="33"/>
      <c r="I179" s="33">
        <f>SUM('ДОУ БУ'!I179+'ДОУ АУ'!I179)</f>
        <v>0</v>
      </c>
      <c r="J179" s="33"/>
      <c r="K179" s="33">
        <f>SUM('ДОУ БУ'!K179+'ДОУ АУ'!K179)</f>
        <v>0</v>
      </c>
      <c r="L179" s="33"/>
      <c r="M179" s="33">
        <f>SUM('ДОУ БУ'!M179+'ДОУ АУ'!M179)</f>
        <v>0</v>
      </c>
      <c r="N179" s="33"/>
      <c r="O179" s="33">
        <f>SUM('ДОУ БУ'!O179+'ДОУ АУ'!O179)</f>
        <v>0</v>
      </c>
      <c r="P179" s="33"/>
      <c r="Q179" s="33"/>
      <c r="R179" s="33"/>
      <c r="S179" s="33">
        <f>SUM('ДОУ БУ'!S179+'ДОУ АУ'!S179)</f>
        <v>0</v>
      </c>
      <c r="T179" s="33">
        <f>SUM('ДОУ БУ'!T179+'ДОУ АУ'!T179)</f>
        <v>0</v>
      </c>
    </row>
    <row r="180" spans="1:20" s="18" customFormat="1" ht="51.75" hidden="1" x14ac:dyDescent="0.25">
      <c r="A180" s="47" t="s">
        <v>35</v>
      </c>
      <c r="B180" s="62" t="s">
        <v>36</v>
      </c>
      <c r="C180" s="49"/>
      <c r="D180" s="33">
        <f t="shared" si="41"/>
        <v>0</v>
      </c>
      <c r="E180" s="33">
        <f t="shared" si="42"/>
        <v>0</v>
      </c>
      <c r="F180" s="33"/>
      <c r="G180" s="33">
        <f>SUM('ДОУ БУ'!G180+'ДОУ АУ'!G180)</f>
        <v>0</v>
      </c>
      <c r="H180" s="34"/>
      <c r="I180" s="34">
        <f t="shared" ref="I180:S180" si="47">SUM(I181:I185)</f>
        <v>0</v>
      </c>
      <c r="J180" s="34"/>
      <c r="K180" s="34">
        <f t="shared" si="47"/>
        <v>0</v>
      </c>
      <c r="L180" s="34"/>
      <c r="M180" s="34">
        <f t="shared" si="47"/>
        <v>0</v>
      </c>
      <c r="N180" s="34"/>
      <c r="O180" s="34">
        <f t="shared" si="47"/>
        <v>0</v>
      </c>
      <c r="P180" s="34"/>
      <c r="Q180" s="34"/>
      <c r="R180" s="34"/>
      <c r="S180" s="34">
        <f t="shared" si="47"/>
        <v>0</v>
      </c>
      <c r="T180" s="34">
        <f t="shared" ref="T180" si="48">SUM(T181:T185)</f>
        <v>0</v>
      </c>
    </row>
    <row r="181" spans="1:20" s="6" customFormat="1" ht="33" hidden="1" x14ac:dyDescent="0.25">
      <c r="A181" s="73" t="s">
        <v>203</v>
      </c>
      <c r="B181" s="64" t="s">
        <v>204</v>
      </c>
      <c r="C181" s="69">
        <v>222</v>
      </c>
      <c r="D181" s="33">
        <f t="shared" si="41"/>
        <v>0</v>
      </c>
      <c r="E181" s="33">
        <f t="shared" si="42"/>
        <v>0</v>
      </c>
      <c r="F181" s="33"/>
      <c r="G181" s="33">
        <f>SUM('ДОУ БУ'!G181+'ДОУ АУ'!G181)</f>
        <v>0</v>
      </c>
      <c r="H181" s="33"/>
      <c r="I181" s="33">
        <f>SUM('ДОУ БУ'!I181+'ДОУ АУ'!I181)</f>
        <v>0</v>
      </c>
      <c r="J181" s="33"/>
      <c r="K181" s="33">
        <f>SUM('ДОУ БУ'!K181+'ДОУ АУ'!K181)</f>
        <v>0</v>
      </c>
      <c r="L181" s="33"/>
      <c r="M181" s="33">
        <f>SUM('ДОУ БУ'!M181+'ДОУ АУ'!M181)</f>
        <v>0</v>
      </c>
      <c r="N181" s="33"/>
      <c r="O181" s="33">
        <f>SUM('ДОУ БУ'!O181+'ДОУ АУ'!O181)</f>
        <v>0</v>
      </c>
      <c r="P181" s="33"/>
      <c r="Q181" s="33"/>
      <c r="R181" s="33"/>
      <c r="S181" s="33">
        <f>SUM('ДОУ БУ'!S181+'ДОУ АУ'!S181)</f>
        <v>0</v>
      </c>
      <c r="T181" s="33">
        <f>SUM('ДОУ БУ'!T181+'ДОУ АУ'!T181)</f>
        <v>0</v>
      </c>
    </row>
    <row r="182" spans="1:20" s="6" customFormat="1" ht="33" hidden="1" x14ac:dyDescent="0.25">
      <c r="A182" s="73" t="s">
        <v>203</v>
      </c>
      <c r="B182" s="64" t="s">
        <v>204</v>
      </c>
      <c r="C182" s="69">
        <v>226</v>
      </c>
      <c r="D182" s="33">
        <f t="shared" si="41"/>
        <v>0</v>
      </c>
      <c r="E182" s="33">
        <f t="shared" si="42"/>
        <v>0</v>
      </c>
      <c r="F182" s="33"/>
      <c r="G182" s="33">
        <f>SUM('ДОУ БУ'!G182+'ДОУ АУ'!G182)</f>
        <v>0</v>
      </c>
      <c r="H182" s="33"/>
      <c r="I182" s="33">
        <f>SUM('ДОУ БУ'!I182+'ДОУ АУ'!I182)</f>
        <v>0</v>
      </c>
      <c r="J182" s="33"/>
      <c r="K182" s="33">
        <f>SUM('ДОУ БУ'!K182+'ДОУ АУ'!K182)</f>
        <v>0</v>
      </c>
      <c r="L182" s="33"/>
      <c r="M182" s="33">
        <f>SUM('ДОУ БУ'!M182+'ДОУ АУ'!M182)</f>
        <v>0</v>
      </c>
      <c r="N182" s="33"/>
      <c r="O182" s="33">
        <f>SUM('ДОУ БУ'!O182+'ДОУ АУ'!O182)</f>
        <v>0</v>
      </c>
      <c r="P182" s="33"/>
      <c r="Q182" s="33"/>
      <c r="R182" s="33"/>
      <c r="S182" s="33">
        <f>SUM('ДОУ БУ'!S182+'ДОУ АУ'!S182)</f>
        <v>0</v>
      </c>
      <c r="T182" s="33">
        <f>SUM('ДОУ БУ'!T182+'ДОУ АУ'!T182)</f>
        <v>0</v>
      </c>
    </row>
    <row r="183" spans="1:20" s="6" customFormat="1" ht="33" hidden="1" x14ac:dyDescent="0.25">
      <c r="A183" s="73" t="s">
        <v>203</v>
      </c>
      <c r="B183" s="64" t="s">
        <v>204</v>
      </c>
      <c r="C183" s="69">
        <v>290</v>
      </c>
      <c r="D183" s="33">
        <f t="shared" si="41"/>
        <v>0</v>
      </c>
      <c r="E183" s="33">
        <f t="shared" si="42"/>
        <v>0</v>
      </c>
      <c r="F183" s="33"/>
      <c r="G183" s="33">
        <f>SUM('ДОУ БУ'!G183+'ДОУ АУ'!G183)</f>
        <v>0</v>
      </c>
      <c r="H183" s="33"/>
      <c r="I183" s="33">
        <f>SUM('ДОУ БУ'!I183+'ДОУ АУ'!I183)</f>
        <v>0</v>
      </c>
      <c r="J183" s="33"/>
      <c r="K183" s="33">
        <f>SUM('ДОУ БУ'!K183+'ДОУ АУ'!K183)</f>
        <v>0</v>
      </c>
      <c r="L183" s="33"/>
      <c r="M183" s="33">
        <f>SUM('ДОУ БУ'!M183+'ДОУ АУ'!M183)</f>
        <v>0</v>
      </c>
      <c r="N183" s="33"/>
      <c r="O183" s="33">
        <f>SUM('ДОУ БУ'!O183+'ДОУ АУ'!O183)</f>
        <v>0</v>
      </c>
      <c r="P183" s="33"/>
      <c r="Q183" s="33"/>
      <c r="R183" s="33"/>
      <c r="S183" s="33">
        <f>SUM('ДОУ БУ'!S183+'ДОУ АУ'!S183)</f>
        <v>0</v>
      </c>
      <c r="T183" s="33">
        <f>SUM('ДОУ БУ'!T183+'ДОУ АУ'!T183)</f>
        <v>0</v>
      </c>
    </row>
    <row r="184" spans="1:20" s="6" customFormat="1" ht="33" hidden="1" x14ac:dyDescent="0.25">
      <c r="A184" s="73" t="s">
        <v>203</v>
      </c>
      <c r="B184" s="64" t="s">
        <v>204</v>
      </c>
      <c r="C184" s="69">
        <v>310</v>
      </c>
      <c r="D184" s="33">
        <f t="shared" si="41"/>
        <v>0</v>
      </c>
      <c r="E184" s="33">
        <f t="shared" si="42"/>
        <v>0</v>
      </c>
      <c r="F184" s="33"/>
      <c r="G184" s="33">
        <f>SUM('ДОУ БУ'!G184+'ДОУ АУ'!G184)</f>
        <v>0</v>
      </c>
      <c r="H184" s="33"/>
      <c r="I184" s="33">
        <f>SUM('ДОУ БУ'!I184+'ДОУ АУ'!I184)</f>
        <v>0</v>
      </c>
      <c r="J184" s="33"/>
      <c r="K184" s="33">
        <f>SUM('ДОУ БУ'!K184+'ДОУ АУ'!K184)</f>
        <v>0</v>
      </c>
      <c r="L184" s="33"/>
      <c r="M184" s="33">
        <f>SUM('ДОУ БУ'!M184+'ДОУ АУ'!M184)</f>
        <v>0</v>
      </c>
      <c r="N184" s="33"/>
      <c r="O184" s="33">
        <f>SUM('ДОУ БУ'!O184+'ДОУ АУ'!O184)</f>
        <v>0</v>
      </c>
      <c r="P184" s="33"/>
      <c r="Q184" s="33"/>
      <c r="R184" s="33"/>
      <c r="S184" s="33">
        <f>SUM('ДОУ БУ'!S184+'ДОУ АУ'!S184)</f>
        <v>0</v>
      </c>
      <c r="T184" s="33">
        <f>SUM('ДОУ БУ'!T184+'ДОУ АУ'!T184)</f>
        <v>0</v>
      </c>
    </row>
    <row r="185" spans="1:20" s="6" customFormat="1" ht="33" hidden="1" x14ac:dyDescent="0.25">
      <c r="A185" s="73" t="s">
        <v>203</v>
      </c>
      <c r="B185" s="64" t="s">
        <v>204</v>
      </c>
      <c r="C185" s="69">
        <v>340</v>
      </c>
      <c r="D185" s="33">
        <f t="shared" si="41"/>
        <v>0</v>
      </c>
      <c r="E185" s="33">
        <f t="shared" si="42"/>
        <v>0</v>
      </c>
      <c r="F185" s="33"/>
      <c r="G185" s="33">
        <f>SUM('ДОУ БУ'!G185+'ДОУ АУ'!G185)</f>
        <v>0</v>
      </c>
      <c r="H185" s="33"/>
      <c r="I185" s="33">
        <f>SUM('ДОУ БУ'!I185+'ДОУ АУ'!I185)</f>
        <v>0</v>
      </c>
      <c r="J185" s="33"/>
      <c r="K185" s="33">
        <f>SUM('ДОУ БУ'!K185+'ДОУ АУ'!K185)</f>
        <v>0</v>
      </c>
      <c r="L185" s="33"/>
      <c r="M185" s="33">
        <f>SUM('ДОУ БУ'!M185+'ДОУ АУ'!M185)</f>
        <v>0</v>
      </c>
      <c r="N185" s="33"/>
      <c r="O185" s="33">
        <f>SUM('ДОУ БУ'!O185+'ДОУ АУ'!O185)</f>
        <v>0</v>
      </c>
      <c r="P185" s="33"/>
      <c r="Q185" s="33"/>
      <c r="R185" s="33"/>
      <c r="S185" s="33">
        <f>SUM('ДОУ БУ'!S185+'ДОУ АУ'!S185)</f>
        <v>0</v>
      </c>
      <c r="T185" s="33">
        <f>SUM('ДОУ БУ'!T185+'ДОУ АУ'!T185)</f>
        <v>0</v>
      </c>
    </row>
    <row r="186" spans="1:20" s="32" customFormat="1" ht="17.25" x14ac:dyDescent="0.25">
      <c r="A186" s="74" t="s">
        <v>205</v>
      </c>
      <c r="B186" s="62" t="s">
        <v>37</v>
      </c>
      <c r="C186" s="49"/>
      <c r="D186" s="33">
        <f t="shared" si="41"/>
        <v>0</v>
      </c>
      <c r="E186" s="33">
        <f t="shared" si="42"/>
        <v>0</v>
      </c>
      <c r="F186" s="33"/>
      <c r="G186" s="33">
        <f>SUM('ДОУ БУ'!G186+'ДОУ АУ'!G186)</f>
        <v>0</v>
      </c>
      <c r="H186" s="43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</row>
    <row r="187" spans="1:20" s="18" customFormat="1" ht="17.25" x14ac:dyDescent="0.25">
      <c r="A187" s="61" t="s">
        <v>206</v>
      </c>
      <c r="B187" s="62" t="s">
        <v>38</v>
      </c>
      <c r="C187" s="49"/>
      <c r="D187" s="34">
        <f t="shared" ref="D187:R187" si="49">SUM(D188+D189+D190+D191+D192+D193+D197+D198+D199+D200+D201+D202+D203+D205)+D204</f>
        <v>39349502.75</v>
      </c>
      <c r="E187" s="34">
        <f t="shared" si="49"/>
        <v>17445437.23</v>
      </c>
      <c r="F187" s="34"/>
      <c r="G187" s="34">
        <f t="shared" si="49"/>
        <v>0</v>
      </c>
      <c r="H187" s="34">
        <f t="shared" si="49"/>
        <v>0</v>
      </c>
      <c r="I187" s="34">
        <f t="shared" si="49"/>
        <v>0</v>
      </c>
      <c r="J187" s="34">
        <f t="shared" si="49"/>
        <v>0</v>
      </c>
      <c r="K187" s="34">
        <f t="shared" si="49"/>
        <v>0</v>
      </c>
      <c r="L187" s="34">
        <f t="shared" si="49"/>
        <v>0</v>
      </c>
      <c r="M187" s="34">
        <f t="shared" si="49"/>
        <v>0</v>
      </c>
      <c r="N187" s="34">
        <f t="shared" si="49"/>
        <v>0</v>
      </c>
      <c r="O187" s="34">
        <f t="shared" si="49"/>
        <v>0</v>
      </c>
      <c r="P187" s="34">
        <f t="shared" si="49"/>
        <v>0</v>
      </c>
      <c r="Q187" s="34">
        <f t="shared" si="49"/>
        <v>0</v>
      </c>
      <c r="R187" s="34">
        <f t="shared" si="49"/>
        <v>0</v>
      </c>
      <c r="S187" s="34">
        <f>SUM(S188+S189+S190+S191+S192+S193+S197+S198+S199+S200+S201+S202+S203+S205)+S204</f>
        <v>39349502.75</v>
      </c>
      <c r="T187" s="34">
        <f>SUM(T188+T189+T190+T191+T192+T193+T197+T198+T199+T200+T201+T202+T203+T205)+T204</f>
        <v>17445437.23</v>
      </c>
    </row>
    <row r="188" spans="1:20" s="6" customFormat="1" ht="16.5" x14ac:dyDescent="0.25">
      <c r="A188" s="63" t="s">
        <v>207</v>
      </c>
      <c r="B188" s="28" t="s">
        <v>47</v>
      </c>
      <c r="C188" s="51">
        <v>211</v>
      </c>
      <c r="D188" s="33">
        <f t="shared" si="41"/>
        <v>0</v>
      </c>
      <c r="E188" s="33">
        <f t="shared" si="42"/>
        <v>0</v>
      </c>
      <c r="F188" s="33"/>
      <c r="G188" s="33">
        <f>SUM('ДОУ БУ'!G188+'ДОУ АУ'!G188)</f>
        <v>0</v>
      </c>
      <c r="H188" s="33"/>
      <c r="I188" s="33">
        <f>SUM('ДОУ БУ'!I188+'ДОУ АУ'!I188)</f>
        <v>0</v>
      </c>
      <c r="J188" s="33"/>
      <c r="K188" s="33">
        <f>SUM('ДОУ БУ'!K188+'ДОУ АУ'!K188)</f>
        <v>0</v>
      </c>
      <c r="L188" s="33"/>
      <c r="M188" s="33">
        <f>SUM('ДОУ БУ'!M188+'ДОУ АУ'!M188)</f>
        <v>0</v>
      </c>
      <c r="N188" s="33"/>
      <c r="O188" s="33">
        <f>SUM('ДОУ БУ'!O188+'ДОУ АУ'!O188)</f>
        <v>0</v>
      </c>
      <c r="P188" s="33"/>
      <c r="Q188" s="33"/>
      <c r="R188" s="33"/>
      <c r="S188" s="33">
        <f>SUM('ДОУ БУ'!S188+'ДОУ АУ'!S188)</f>
        <v>0</v>
      </c>
      <c r="T188" s="33">
        <f>SUM('ДОУ БУ'!T188+'ДОУ АУ'!T188)</f>
        <v>0</v>
      </c>
    </row>
    <row r="189" spans="1:20" s="6" customFormat="1" ht="16.5" x14ac:dyDescent="0.25">
      <c r="A189" s="63" t="s">
        <v>208</v>
      </c>
      <c r="B189" s="28" t="s">
        <v>49</v>
      </c>
      <c r="C189" s="51">
        <v>212</v>
      </c>
      <c r="D189" s="33">
        <f t="shared" si="41"/>
        <v>0</v>
      </c>
      <c r="E189" s="33">
        <f t="shared" si="42"/>
        <v>0</v>
      </c>
      <c r="F189" s="33"/>
      <c r="G189" s="33">
        <f>SUM('ДОУ БУ'!G189+'ДОУ АУ'!G189)</f>
        <v>0</v>
      </c>
      <c r="H189" s="33"/>
      <c r="I189" s="33">
        <f>SUM('ДОУ БУ'!I189+'ДОУ АУ'!I189)</f>
        <v>0</v>
      </c>
      <c r="J189" s="33"/>
      <c r="K189" s="33">
        <f>SUM('ДОУ БУ'!K189+'ДОУ АУ'!K189)</f>
        <v>0</v>
      </c>
      <c r="L189" s="33"/>
      <c r="M189" s="33">
        <f>SUM('ДОУ БУ'!M189+'ДОУ АУ'!M189)</f>
        <v>0</v>
      </c>
      <c r="N189" s="33"/>
      <c r="O189" s="33">
        <f>SUM('ДОУ БУ'!O189+'ДОУ АУ'!O189)</f>
        <v>0</v>
      </c>
      <c r="P189" s="33"/>
      <c r="Q189" s="33"/>
      <c r="R189" s="33"/>
      <c r="S189" s="33">
        <f>SUM('ДОУ БУ'!S189+'ДОУ АУ'!S189)</f>
        <v>0</v>
      </c>
      <c r="T189" s="33">
        <f>SUM('ДОУ БУ'!T189+'ДОУ АУ'!T189)</f>
        <v>0</v>
      </c>
    </row>
    <row r="190" spans="1:20" s="6" customFormat="1" ht="16.5" x14ac:dyDescent="0.25">
      <c r="A190" s="63" t="s">
        <v>209</v>
      </c>
      <c r="B190" s="28" t="s">
        <v>51</v>
      </c>
      <c r="C190" s="51">
        <v>213</v>
      </c>
      <c r="D190" s="33">
        <f t="shared" si="41"/>
        <v>0</v>
      </c>
      <c r="E190" s="33">
        <f t="shared" si="42"/>
        <v>0</v>
      </c>
      <c r="F190" s="33"/>
      <c r="G190" s="33">
        <f>SUM('ДОУ БУ'!G190+'ДОУ АУ'!G190)</f>
        <v>0</v>
      </c>
      <c r="H190" s="33"/>
      <c r="I190" s="33">
        <f>SUM('ДОУ БУ'!I190+'ДОУ АУ'!I190)</f>
        <v>0</v>
      </c>
      <c r="J190" s="33"/>
      <c r="K190" s="33">
        <f>SUM('ДОУ БУ'!K190+'ДОУ АУ'!K190)</f>
        <v>0</v>
      </c>
      <c r="L190" s="33"/>
      <c r="M190" s="33">
        <f>SUM('ДОУ БУ'!M190+'ДОУ АУ'!M190)</f>
        <v>0</v>
      </c>
      <c r="N190" s="33"/>
      <c r="O190" s="33">
        <f>SUM('ДОУ БУ'!O190+'ДОУ АУ'!O190)</f>
        <v>0</v>
      </c>
      <c r="P190" s="33"/>
      <c r="Q190" s="33"/>
      <c r="R190" s="33"/>
      <c r="S190" s="33">
        <f>SUM('ДОУ БУ'!S190+'ДОУ АУ'!S190)</f>
        <v>0</v>
      </c>
      <c r="T190" s="33">
        <f>SUM('ДОУ БУ'!T190+'ДОУ АУ'!T190)</f>
        <v>0</v>
      </c>
    </row>
    <row r="191" spans="1:20" s="6" customFormat="1" ht="16.5" x14ac:dyDescent="0.25">
      <c r="A191" s="63" t="s">
        <v>210</v>
      </c>
      <c r="B191" s="28" t="s">
        <v>53</v>
      </c>
      <c r="C191" s="51">
        <v>221</v>
      </c>
      <c r="D191" s="33">
        <f t="shared" si="41"/>
        <v>240500</v>
      </c>
      <c r="E191" s="33">
        <f t="shared" si="42"/>
        <v>23687.539999999997</v>
      </c>
      <c r="F191" s="33"/>
      <c r="G191" s="33">
        <f>SUM('ДОУ БУ'!G191+'ДОУ АУ'!G191)</f>
        <v>0</v>
      </c>
      <c r="H191" s="33"/>
      <c r="I191" s="33">
        <f>SUM('ДОУ БУ'!I191+'ДОУ АУ'!I191)</f>
        <v>0</v>
      </c>
      <c r="J191" s="33"/>
      <c r="K191" s="33">
        <f>SUM('ДОУ БУ'!K191+'ДОУ АУ'!K191)</f>
        <v>0</v>
      </c>
      <c r="L191" s="33"/>
      <c r="M191" s="33">
        <f>SUM('ДОУ БУ'!M191+'ДОУ АУ'!M191)</f>
        <v>0</v>
      </c>
      <c r="N191" s="33"/>
      <c r="O191" s="33">
        <f>SUM('ДОУ БУ'!O191+'ДОУ АУ'!O191)</f>
        <v>0</v>
      </c>
      <c r="P191" s="33"/>
      <c r="Q191" s="33"/>
      <c r="R191" s="33"/>
      <c r="S191" s="33">
        <f>SUM('ДОУ БУ'!S191+'ДОУ АУ'!S191)</f>
        <v>240500</v>
      </c>
      <c r="T191" s="33">
        <f>SUM('ДОУ БУ'!T191+'ДОУ АУ'!T191)</f>
        <v>23687.539999999997</v>
      </c>
    </row>
    <row r="192" spans="1:20" s="6" customFormat="1" ht="16.5" x14ac:dyDescent="0.25">
      <c r="A192" s="63" t="s">
        <v>211</v>
      </c>
      <c r="B192" s="28" t="s">
        <v>55</v>
      </c>
      <c r="C192" s="51">
        <v>222</v>
      </c>
      <c r="D192" s="33">
        <f t="shared" si="41"/>
        <v>225500</v>
      </c>
      <c r="E192" s="33">
        <f t="shared" si="42"/>
        <v>600</v>
      </c>
      <c r="F192" s="33"/>
      <c r="G192" s="33">
        <f>SUM('ДОУ БУ'!G192+'ДОУ АУ'!G192)</f>
        <v>0</v>
      </c>
      <c r="H192" s="33"/>
      <c r="I192" s="33">
        <f>SUM('ДОУ БУ'!I192+'ДОУ АУ'!I192)</f>
        <v>0</v>
      </c>
      <c r="J192" s="33"/>
      <c r="K192" s="33">
        <f>SUM('ДОУ БУ'!K192+'ДОУ АУ'!K192)</f>
        <v>0</v>
      </c>
      <c r="L192" s="33"/>
      <c r="M192" s="33">
        <f>SUM('ДОУ БУ'!M192+'ДОУ АУ'!M192)</f>
        <v>0</v>
      </c>
      <c r="N192" s="33"/>
      <c r="O192" s="33">
        <f>SUM('ДОУ БУ'!O192+'ДОУ АУ'!O192)</f>
        <v>0</v>
      </c>
      <c r="P192" s="33"/>
      <c r="Q192" s="33"/>
      <c r="R192" s="33"/>
      <c r="S192" s="33">
        <f>SUM('ДОУ БУ'!S192+'ДОУ АУ'!S192)</f>
        <v>225500</v>
      </c>
      <c r="T192" s="33">
        <f>SUM('ДОУ БУ'!T192+'ДОУ АУ'!T192)</f>
        <v>600</v>
      </c>
    </row>
    <row r="193" spans="1:20" s="6" customFormat="1" ht="16.5" x14ac:dyDescent="0.25">
      <c r="A193" s="63" t="s">
        <v>212</v>
      </c>
      <c r="B193" s="28" t="s">
        <v>57</v>
      </c>
      <c r="C193" s="51">
        <v>223</v>
      </c>
      <c r="D193" s="33">
        <f t="shared" si="41"/>
        <v>765360</v>
      </c>
      <c r="E193" s="33">
        <f t="shared" si="42"/>
        <v>2636</v>
      </c>
      <c r="F193" s="33"/>
      <c r="G193" s="33">
        <f>SUM('ДОУ БУ'!G193+'ДОУ АУ'!G193)</f>
        <v>0</v>
      </c>
      <c r="H193" s="33"/>
      <c r="I193" s="33">
        <f>SUM('ДОУ БУ'!I193+'ДОУ АУ'!I193)</f>
        <v>0</v>
      </c>
      <c r="J193" s="33"/>
      <c r="K193" s="33">
        <f>SUM('ДОУ БУ'!K193+'ДОУ АУ'!K193)</f>
        <v>0</v>
      </c>
      <c r="L193" s="33"/>
      <c r="M193" s="33">
        <f>SUM('ДОУ БУ'!M193+'ДОУ АУ'!M193)</f>
        <v>0</v>
      </c>
      <c r="N193" s="33"/>
      <c r="O193" s="33">
        <f>SUM('ДОУ БУ'!O193+'ДОУ АУ'!O193)</f>
        <v>0</v>
      </c>
      <c r="P193" s="33"/>
      <c r="Q193" s="33"/>
      <c r="R193" s="33"/>
      <c r="S193" s="33">
        <f>SUM('ДОУ БУ'!S193+'ДОУ АУ'!S193)</f>
        <v>765360</v>
      </c>
      <c r="T193" s="33">
        <f>SUM('ДОУ БУ'!T193+'ДОУ АУ'!T193)</f>
        <v>2636</v>
      </c>
    </row>
    <row r="194" spans="1:20" s="6" customFormat="1" ht="16.5" x14ac:dyDescent="0.25">
      <c r="A194" s="63"/>
      <c r="B194" s="58" t="s">
        <v>213</v>
      </c>
      <c r="C194" s="51">
        <v>223</v>
      </c>
      <c r="D194" s="33">
        <f t="shared" si="41"/>
        <v>2300</v>
      </c>
      <c r="E194" s="33">
        <f t="shared" si="42"/>
        <v>0</v>
      </c>
      <c r="F194" s="33"/>
      <c r="G194" s="33">
        <f>SUM('ДОУ БУ'!G194+'ДОУ АУ'!G194)</f>
        <v>0</v>
      </c>
      <c r="H194" s="33"/>
      <c r="I194" s="33">
        <f>SUM('ДОУ БУ'!I194+'ДОУ АУ'!I194)</f>
        <v>0</v>
      </c>
      <c r="J194" s="33"/>
      <c r="K194" s="33">
        <f>SUM('ДОУ БУ'!K194+'ДОУ АУ'!K194)</f>
        <v>0</v>
      </c>
      <c r="L194" s="33"/>
      <c r="M194" s="33">
        <f>SUM('ДОУ БУ'!M194+'ДОУ АУ'!M194)</f>
        <v>0</v>
      </c>
      <c r="N194" s="33"/>
      <c r="O194" s="33">
        <f>SUM('ДОУ БУ'!O194+'ДОУ АУ'!O194)</f>
        <v>0</v>
      </c>
      <c r="P194" s="33"/>
      <c r="Q194" s="33"/>
      <c r="R194" s="33"/>
      <c r="S194" s="33">
        <f>SUM('ДОУ БУ'!S194+'ДОУ АУ'!S194)</f>
        <v>2300</v>
      </c>
      <c r="T194" s="33">
        <f>SUM('ДОУ БУ'!T194+'ДОУ АУ'!T194)</f>
        <v>0</v>
      </c>
    </row>
    <row r="195" spans="1:20" s="6" customFormat="1" ht="16.5" x14ac:dyDescent="0.25">
      <c r="A195" s="63"/>
      <c r="B195" s="58" t="s">
        <v>214</v>
      </c>
      <c r="C195" s="51">
        <v>223</v>
      </c>
      <c r="D195" s="33">
        <f t="shared" si="41"/>
        <v>382680</v>
      </c>
      <c r="E195" s="33">
        <f t="shared" si="42"/>
        <v>1243.33</v>
      </c>
      <c r="F195" s="33"/>
      <c r="G195" s="33">
        <f>SUM('ДОУ БУ'!G195+'ДОУ АУ'!G195)</f>
        <v>0</v>
      </c>
      <c r="H195" s="33"/>
      <c r="I195" s="33">
        <f>SUM('ДОУ БУ'!I195+'ДОУ АУ'!I195)</f>
        <v>0</v>
      </c>
      <c r="J195" s="33"/>
      <c r="K195" s="33">
        <f>SUM('ДОУ БУ'!K195+'ДОУ АУ'!K195)</f>
        <v>0</v>
      </c>
      <c r="L195" s="33"/>
      <c r="M195" s="33">
        <f>SUM('ДОУ БУ'!M195+'ДОУ АУ'!M195)</f>
        <v>0</v>
      </c>
      <c r="N195" s="33"/>
      <c r="O195" s="33">
        <f>SUM('ДОУ БУ'!O195+'ДОУ АУ'!O195)</f>
        <v>0</v>
      </c>
      <c r="P195" s="33"/>
      <c r="Q195" s="33"/>
      <c r="R195" s="33"/>
      <c r="S195" s="33">
        <f>SUM('ДОУ БУ'!S195+'ДОУ АУ'!S195)</f>
        <v>382680</v>
      </c>
      <c r="T195" s="33">
        <f>SUM('ДОУ БУ'!T195+'ДОУ АУ'!T195)</f>
        <v>1243.33</v>
      </c>
    </row>
    <row r="196" spans="1:20" s="6" customFormat="1" ht="16.5" x14ac:dyDescent="0.25">
      <c r="A196" s="63"/>
      <c r="B196" s="58" t="s">
        <v>215</v>
      </c>
      <c r="C196" s="51">
        <v>223</v>
      </c>
      <c r="D196" s="33">
        <f t="shared" si="41"/>
        <v>380380</v>
      </c>
      <c r="E196" s="33">
        <f t="shared" si="42"/>
        <v>1392.67</v>
      </c>
      <c r="F196" s="33"/>
      <c r="G196" s="33">
        <f>SUM('ДОУ БУ'!G196+'ДОУ АУ'!G196)</f>
        <v>0</v>
      </c>
      <c r="H196" s="33"/>
      <c r="I196" s="33">
        <f>SUM('ДОУ БУ'!I196+'ДОУ АУ'!I196)</f>
        <v>0</v>
      </c>
      <c r="J196" s="33"/>
      <c r="K196" s="33">
        <f>SUM('ДОУ БУ'!K196+'ДОУ АУ'!K196)</f>
        <v>0</v>
      </c>
      <c r="L196" s="33"/>
      <c r="M196" s="33">
        <f>SUM('ДОУ БУ'!M196+'ДОУ АУ'!M196)</f>
        <v>0</v>
      </c>
      <c r="N196" s="33"/>
      <c r="O196" s="33">
        <f>SUM('ДОУ БУ'!O196+'ДОУ АУ'!O196)</f>
        <v>0</v>
      </c>
      <c r="P196" s="33"/>
      <c r="Q196" s="33"/>
      <c r="R196" s="33"/>
      <c r="S196" s="33">
        <f>SUM('ДОУ БУ'!S196+'ДОУ АУ'!S196)</f>
        <v>380380</v>
      </c>
      <c r="T196" s="33">
        <f>SUM('ДОУ БУ'!T196+'ДОУ АУ'!T196)</f>
        <v>1392.67</v>
      </c>
    </row>
    <row r="197" spans="1:20" s="6" customFormat="1" ht="16.5" x14ac:dyDescent="0.25">
      <c r="A197" s="63" t="s">
        <v>216</v>
      </c>
      <c r="B197" s="58" t="s">
        <v>217</v>
      </c>
      <c r="C197" s="51">
        <v>224</v>
      </c>
      <c r="D197" s="33">
        <f t="shared" si="41"/>
        <v>0</v>
      </c>
      <c r="E197" s="33">
        <f t="shared" si="42"/>
        <v>0</v>
      </c>
      <c r="F197" s="33"/>
      <c r="G197" s="33">
        <f>SUM('ДОУ БУ'!G197+'ДОУ АУ'!G197)</f>
        <v>0</v>
      </c>
      <c r="H197" s="33"/>
      <c r="I197" s="33">
        <f>SUM('ДОУ БУ'!I197+'ДОУ АУ'!I197)</f>
        <v>0</v>
      </c>
      <c r="J197" s="33"/>
      <c r="K197" s="33">
        <f>SUM('ДОУ БУ'!K197+'ДОУ АУ'!K197)</f>
        <v>0</v>
      </c>
      <c r="L197" s="33"/>
      <c r="M197" s="33">
        <f>SUM('ДОУ БУ'!M197+'ДОУ АУ'!M197)</f>
        <v>0</v>
      </c>
      <c r="N197" s="33"/>
      <c r="O197" s="33">
        <f>SUM('ДОУ БУ'!O197+'ДОУ АУ'!O197)</f>
        <v>0</v>
      </c>
      <c r="P197" s="33"/>
      <c r="Q197" s="33"/>
      <c r="R197" s="33"/>
      <c r="S197" s="33">
        <f>SUM('ДОУ БУ'!S197+'ДОУ АУ'!S197)</f>
        <v>0</v>
      </c>
      <c r="T197" s="33">
        <f>SUM('ДОУ БУ'!T197+'ДОУ АУ'!T197)</f>
        <v>0</v>
      </c>
    </row>
    <row r="198" spans="1:20" s="6" customFormat="1" ht="16.5" x14ac:dyDescent="0.25">
      <c r="A198" s="63" t="s">
        <v>218</v>
      </c>
      <c r="B198" s="58" t="s">
        <v>219</v>
      </c>
      <c r="C198" s="51">
        <v>225</v>
      </c>
      <c r="D198" s="33">
        <f t="shared" si="41"/>
        <v>0</v>
      </c>
      <c r="E198" s="33">
        <f t="shared" si="42"/>
        <v>0</v>
      </c>
      <c r="F198" s="33"/>
      <c r="G198" s="33">
        <f>SUM('ДОУ БУ'!G198+'ДОУ АУ'!G198)</f>
        <v>0</v>
      </c>
      <c r="H198" s="33"/>
      <c r="I198" s="33">
        <f>SUM('ДОУ БУ'!I198+'ДОУ АУ'!I198)</f>
        <v>0</v>
      </c>
      <c r="J198" s="33"/>
      <c r="K198" s="33">
        <f>SUM('ДОУ БУ'!K198+'ДОУ АУ'!K198)</f>
        <v>0</v>
      </c>
      <c r="L198" s="33"/>
      <c r="M198" s="33">
        <f>SUM('ДОУ БУ'!M198+'ДОУ АУ'!M198)</f>
        <v>0</v>
      </c>
      <c r="N198" s="33"/>
      <c r="O198" s="33">
        <f>SUM('ДОУ БУ'!O198+'ДОУ АУ'!O198)</f>
        <v>0</v>
      </c>
      <c r="P198" s="33"/>
      <c r="Q198" s="33"/>
      <c r="R198" s="33"/>
      <c r="S198" s="33">
        <f>SUM('ДОУ БУ'!S198+'ДОУ АУ'!S198)</f>
        <v>0</v>
      </c>
      <c r="T198" s="33">
        <f>SUM('ДОУ БУ'!T198+'ДОУ АУ'!T198)</f>
        <v>0</v>
      </c>
    </row>
    <row r="199" spans="1:20" s="6" customFormat="1" ht="16.5" x14ac:dyDescent="0.25">
      <c r="A199" s="63" t="s">
        <v>220</v>
      </c>
      <c r="B199" s="58" t="s">
        <v>221</v>
      </c>
      <c r="C199" s="51">
        <v>225</v>
      </c>
      <c r="D199" s="33">
        <f t="shared" si="41"/>
        <v>960700</v>
      </c>
      <c r="E199" s="33">
        <f t="shared" si="42"/>
        <v>1387529.3</v>
      </c>
      <c r="F199" s="33"/>
      <c r="G199" s="33">
        <f>SUM('ДОУ БУ'!G199+'ДОУ АУ'!G199)</f>
        <v>0</v>
      </c>
      <c r="H199" s="33"/>
      <c r="I199" s="33">
        <f>SUM('ДОУ БУ'!I199+'ДОУ АУ'!I199)</f>
        <v>0</v>
      </c>
      <c r="J199" s="33"/>
      <c r="K199" s="33">
        <f>SUM('ДОУ БУ'!K199+'ДОУ АУ'!K199)</f>
        <v>0</v>
      </c>
      <c r="L199" s="33"/>
      <c r="M199" s="33">
        <f>SUM('ДОУ БУ'!M199+'ДОУ АУ'!M199)</f>
        <v>0</v>
      </c>
      <c r="N199" s="33"/>
      <c r="O199" s="33">
        <f>SUM('ДОУ БУ'!O199+'ДОУ АУ'!O199)</f>
        <v>0</v>
      </c>
      <c r="P199" s="33"/>
      <c r="Q199" s="33"/>
      <c r="R199" s="33"/>
      <c r="S199" s="33">
        <f>SUM('ДОУ БУ'!S199+'ДОУ АУ'!S199)</f>
        <v>960700</v>
      </c>
      <c r="T199" s="33">
        <f>SUM('ДОУ БУ'!T199+'ДОУ АУ'!T199)</f>
        <v>1387529.3</v>
      </c>
    </row>
    <row r="200" spans="1:20" s="6" customFormat="1" ht="16.5" x14ac:dyDescent="0.25">
      <c r="A200" s="63" t="s">
        <v>222</v>
      </c>
      <c r="B200" s="58" t="s">
        <v>223</v>
      </c>
      <c r="C200" s="51">
        <v>226</v>
      </c>
      <c r="D200" s="33">
        <f t="shared" si="41"/>
        <v>24857382</v>
      </c>
      <c r="E200" s="33">
        <f t="shared" si="42"/>
        <v>13069497.84</v>
      </c>
      <c r="F200" s="33"/>
      <c r="G200" s="33">
        <f>SUM('ДОУ БУ'!G200+'ДОУ АУ'!G200)</f>
        <v>0</v>
      </c>
      <c r="H200" s="33"/>
      <c r="I200" s="33">
        <f>SUM('ДОУ БУ'!I200+'ДОУ АУ'!I200)</f>
        <v>0</v>
      </c>
      <c r="J200" s="33"/>
      <c r="K200" s="33">
        <f>SUM('ДОУ БУ'!K200+'ДОУ АУ'!K200)</f>
        <v>0</v>
      </c>
      <c r="L200" s="33"/>
      <c r="M200" s="33">
        <f>SUM('ДОУ БУ'!M200+'ДОУ АУ'!M200)</f>
        <v>0</v>
      </c>
      <c r="N200" s="33"/>
      <c r="O200" s="33">
        <f>SUM('ДОУ БУ'!O200+'ДОУ АУ'!O200)</f>
        <v>0</v>
      </c>
      <c r="P200" s="33"/>
      <c r="Q200" s="33"/>
      <c r="R200" s="33"/>
      <c r="S200" s="33">
        <f>SUM('ДОУ БУ'!S200+'ДОУ АУ'!S200)</f>
        <v>24857382</v>
      </c>
      <c r="T200" s="33">
        <f>SUM('ДОУ БУ'!T200+'ДОУ АУ'!T200)</f>
        <v>13069497.84</v>
      </c>
    </row>
    <row r="201" spans="1:20" s="6" customFormat="1" ht="16.5" x14ac:dyDescent="0.25">
      <c r="A201" s="63" t="s">
        <v>224</v>
      </c>
      <c r="B201" s="58" t="s">
        <v>225</v>
      </c>
      <c r="C201" s="51">
        <v>226</v>
      </c>
      <c r="D201" s="33">
        <f t="shared" si="41"/>
        <v>0</v>
      </c>
      <c r="E201" s="33">
        <f t="shared" si="42"/>
        <v>0</v>
      </c>
      <c r="F201" s="33"/>
      <c r="G201" s="33">
        <f>SUM('ДОУ БУ'!G201+'ДОУ АУ'!G201)</f>
        <v>0</v>
      </c>
      <c r="H201" s="33"/>
      <c r="I201" s="33">
        <f>SUM('ДОУ БУ'!I201+'ДОУ АУ'!I201)</f>
        <v>0</v>
      </c>
      <c r="J201" s="33"/>
      <c r="K201" s="33">
        <f>SUM('ДОУ БУ'!K201+'ДОУ АУ'!K201)</f>
        <v>0</v>
      </c>
      <c r="L201" s="33"/>
      <c r="M201" s="33">
        <f>SUM('ДОУ БУ'!M201+'ДОУ АУ'!M201)</f>
        <v>0</v>
      </c>
      <c r="N201" s="33"/>
      <c r="O201" s="33">
        <f>SUM('ДОУ БУ'!O201+'ДОУ АУ'!O201)</f>
        <v>0</v>
      </c>
      <c r="P201" s="33"/>
      <c r="Q201" s="33"/>
      <c r="R201" s="33"/>
      <c r="S201" s="33">
        <f>SUM('ДОУ БУ'!S201+'ДОУ АУ'!S201)</f>
        <v>0</v>
      </c>
      <c r="T201" s="33">
        <f>SUM('ДОУ БУ'!T201+'ДОУ АУ'!T201)</f>
        <v>0</v>
      </c>
    </row>
    <row r="202" spans="1:20" s="6" customFormat="1" ht="16.5" x14ac:dyDescent="0.25">
      <c r="A202" s="63" t="s">
        <v>226</v>
      </c>
      <c r="B202" s="28" t="s">
        <v>68</v>
      </c>
      <c r="C202" s="51">
        <v>290</v>
      </c>
      <c r="D202" s="33">
        <f t="shared" si="41"/>
        <v>492000</v>
      </c>
      <c r="E202" s="33">
        <f t="shared" si="42"/>
        <v>135324.03</v>
      </c>
      <c r="F202" s="33"/>
      <c r="G202" s="33">
        <f>SUM('ДОУ БУ'!G202+'ДОУ АУ'!G202)</f>
        <v>0</v>
      </c>
      <c r="H202" s="33"/>
      <c r="I202" s="33">
        <f>SUM('ДОУ БУ'!I202+'ДОУ АУ'!I202)</f>
        <v>0</v>
      </c>
      <c r="J202" s="33"/>
      <c r="K202" s="33">
        <f>SUM('ДОУ БУ'!K202+'ДОУ АУ'!K202)</f>
        <v>0</v>
      </c>
      <c r="L202" s="33"/>
      <c r="M202" s="33">
        <f>SUM('ДОУ БУ'!M202+'ДОУ АУ'!M202)</f>
        <v>0</v>
      </c>
      <c r="N202" s="33"/>
      <c r="O202" s="33">
        <f>SUM('ДОУ БУ'!O202+'ДОУ АУ'!O202)</f>
        <v>0</v>
      </c>
      <c r="P202" s="33"/>
      <c r="Q202" s="33"/>
      <c r="R202" s="33"/>
      <c r="S202" s="33">
        <f>SUM('ДОУ БУ'!S202+'ДОУ АУ'!S202)</f>
        <v>492000</v>
      </c>
      <c r="T202" s="33">
        <f>SUM('ДОУ БУ'!T202+'ДОУ АУ'!T202)</f>
        <v>135324.03</v>
      </c>
    </row>
    <row r="203" spans="1:20" s="6" customFormat="1" ht="16.5" x14ac:dyDescent="0.25">
      <c r="A203" s="63" t="s">
        <v>227</v>
      </c>
      <c r="B203" s="58" t="s">
        <v>72</v>
      </c>
      <c r="C203" s="51">
        <v>310</v>
      </c>
      <c r="D203" s="33">
        <f t="shared" si="41"/>
        <v>2051716.6400000001</v>
      </c>
      <c r="E203" s="33">
        <f t="shared" si="42"/>
        <v>1326864.54</v>
      </c>
      <c r="F203" s="33"/>
      <c r="G203" s="33">
        <f>SUM('ДОУ БУ'!G203+'ДОУ АУ'!G203)</f>
        <v>0</v>
      </c>
      <c r="H203" s="33"/>
      <c r="I203" s="33">
        <f>SUM('ДОУ БУ'!I203+'ДОУ АУ'!I203)</f>
        <v>0</v>
      </c>
      <c r="J203" s="33"/>
      <c r="K203" s="33">
        <f>SUM('ДОУ БУ'!K203+'ДОУ АУ'!K203)</f>
        <v>0</v>
      </c>
      <c r="L203" s="33"/>
      <c r="M203" s="33">
        <f>SUM('ДОУ БУ'!M203+'ДОУ АУ'!M203)</f>
        <v>0</v>
      </c>
      <c r="N203" s="33"/>
      <c r="O203" s="33">
        <f>SUM('ДОУ БУ'!O203+'ДОУ АУ'!O203)</f>
        <v>0</v>
      </c>
      <c r="P203" s="33"/>
      <c r="Q203" s="33"/>
      <c r="R203" s="33"/>
      <c r="S203" s="33">
        <f>SUM('ДОУ БУ'!S203+'ДОУ АУ'!S203)</f>
        <v>2051716.6400000001</v>
      </c>
      <c r="T203" s="33">
        <f>SUM('ДОУ БУ'!T203+'ДОУ АУ'!T203)</f>
        <v>1326864.54</v>
      </c>
    </row>
    <row r="204" spans="1:20" s="6" customFormat="1" ht="16.5" x14ac:dyDescent="0.25">
      <c r="A204" s="63" t="s">
        <v>228</v>
      </c>
      <c r="B204" s="58" t="s">
        <v>243</v>
      </c>
      <c r="C204" s="51">
        <v>340</v>
      </c>
      <c r="D204" s="33">
        <f t="shared" si="41"/>
        <v>9756344.1099999994</v>
      </c>
      <c r="E204" s="33">
        <f t="shared" si="42"/>
        <v>1499297.98</v>
      </c>
      <c r="F204" s="33"/>
      <c r="G204" s="33">
        <f>SUM('ДОУ БУ'!G204+'ДОУ АУ'!G204)</f>
        <v>0</v>
      </c>
      <c r="H204" s="33"/>
      <c r="I204" s="33">
        <f>SUM('ДОУ БУ'!I204+'ДОУ АУ'!I204)</f>
        <v>0</v>
      </c>
      <c r="J204" s="33"/>
      <c r="K204" s="33">
        <f>SUM('ДОУ БУ'!K204+'ДОУ АУ'!K204)</f>
        <v>0</v>
      </c>
      <c r="L204" s="33"/>
      <c r="M204" s="33">
        <f>SUM('ДОУ БУ'!M204+'ДОУ АУ'!M204)</f>
        <v>0</v>
      </c>
      <c r="N204" s="33"/>
      <c r="O204" s="33">
        <f>SUM('ДОУ БУ'!O204+'ДОУ АУ'!O204)</f>
        <v>0</v>
      </c>
      <c r="P204" s="33"/>
      <c r="Q204" s="33"/>
      <c r="R204" s="33"/>
      <c r="S204" s="33">
        <f>SUM('ДОУ БУ'!S204+'ДОУ АУ'!S204)</f>
        <v>9756344.1099999994</v>
      </c>
      <c r="T204" s="33">
        <f>SUM('ДОУ БУ'!T204+'ДОУ АУ'!T204)</f>
        <v>1499297.98</v>
      </c>
    </row>
    <row r="205" spans="1:20" s="6" customFormat="1" ht="16.5" x14ac:dyDescent="0.25">
      <c r="A205" s="63" t="s">
        <v>286</v>
      </c>
      <c r="B205" s="58" t="s">
        <v>225</v>
      </c>
      <c r="C205" s="51">
        <v>340</v>
      </c>
      <c r="D205" s="33">
        <f t="shared" si="41"/>
        <v>0</v>
      </c>
      <c r="E205" s="33">
        <f t="shared" si="42"/>
        <v>0</v>
      </c>
      <c r="F205" s="33"/>
      <c r="G205" s="33">
        <f>SUM('ДОУ БУ'!G205+'ДОУ АУ'!G205)</f>
        <v>0</v>
      </c>
      <c r="H205" s="33"/>
      <c r="I205" s="33">
        <f>SUM('ДОУ БУ'!I205+'ДОУ АУ'!I205)</f>
        <v>0</v>
      </c>
      <c r="J205" s="33"/>
      <c r="K205" s="33">
        <f>SUM('ДОУ БУ'!K205+'ДОУ АУ'!K205)</f>
        <v>0</v>
      </c>
      <c r="L205" s="33"/>
      <c r="M205" s="33">
        <f>SUM('ДОУ БУ'!M205+'ДОУ АУ'!M205)</f>
        <v>0</v>
      </c>
      <c r="N205" s="33"/>
      <c r="O205" s="33">
        <f>SUM('ДОУ БУ'!O205+'ДОУ АУ'!O205)</f>
        <v>0</v>
      </c>
      <c r="P205" s="33"/>
      <c r="Q205" s="33"/>
      <c r="R205" s="33"/>
      <c r="S205" s="33">
        <f>SUM('ДОУ БУ'!S205+'ДОУ АУ'!S205)</f>
        <v>0</v>
      </c>
      <c r="T205" s="33">
        <f>SUM('ДОУ БУ'!T205+'ДОУ АУ'!T205)</f>
        <v>0</v>
      </c>
    </row>
    <row r="206" spans="1:20" s="18" customFormat="1" ht="17.25" x14ac:dyDescent="0.25">
      <c r="A206" s="61" t="s">
        <v>229</v>
      </c>
      <c r="B206" s="62" t="s">
        <v>39</v>
      </c>
      <c r="C206" s="49"/>
      <c r="D206" s="34">
        <f t="shared" ref="D206:S206" si="50">SUM(D207+D208+D209+D210+D211+D212+D216+D217+D218+D219+D220+D221+D222)</f>
        <v>5455203.6200000001</v>
      </c>
      <c r="E206" s="34">
        <f t="shared" si="50"/>
        <v>1115818.8500000001</v>
      </c>
      <c r="F206" s="34"/>
      <c r="G206" s="34">
        <f t="shared" si="50"/>
        <v>0</v>
      </c>
      <c r="H206" s="34">
        <f t="shared" si="50"/>
        <v>0</v>
      </c>
      <c r="I206" s="34">
        <f t="shared" si="50"/>
        <v>0</v>
      </c>
      <c r="J206" s="34">
        <f t="shared" si="50"/>
        <v>0</v>
      </c>
      <c r="K206" s="34">
        <f t="shared" si="50"/>
        <v>0</v>
      </c>
      <c r="L206" s="34">
        <f t="shared" si="50"/>
        <v>0</v>
      </c>
      <c r="M206" s="34">
        <f t="shared" si="50"/>
        <v>0</v>
      </c>
      <c r="N206" s="34">
        <f t="shared" si="50"/>
        <v>0</v>
      </c>
      <c r="O206" s="34">
        <f t="shared" si="50"/>
        <v>0</v>
      </c>
      <c r="P206" s="34">
        <f t="shared" si="50"/>
        <v>0</v>
      </c>
      <c r="Q206" s="34">
        <f t="shared" si="50"/>
        <v>0</v>
      </c>
      <c r="R206" s="34">
        <f t="shared" si="50"/>
        <v>0</v>
      </c>
      <c r="S206" s="34">
        <f t="shared" si="50"/>
        <v>5455203.6200000001</v>
      </c>
      <c r="T206" s="34">
        <f t="shared" ref="T206" si="51">SUM(T207+T208+T209+T210+T211+T212+T216+T217+T218+T219+T220+T221+T222)</f>
        <v>1115818.8500000001</v>
      </c>
    </row>
    <row r="207" spans="1:20" s="6" customFormat="1" ht="16.5" x14ac:dyDescent="0.25">
      <c r="A207" s="63" t="s">
        <v>230</v>
      </c>
      <c r="B207" s="28" t="s">
        <v>47</v>
      </c>
      <c r="C207" s="51">
        <v>211</v>
      </c>
      <c r="D207" s="33">
        <f t="shared" si="41"/>
        <v>0</v>
      </c>
      <c r="E207" s="33">
        <f t="shared" si="42"/>
        <v>0</v>
      </c>
      <c r="F207" s="33"/>
      <c r="G207" s="33">
        <f>SUM('ДОУ БУ'!G207+'ДОУ АУ'!G207)</f>
        <v>0</v>
      </c>
      <c r="H207" s="33"/>
      <c r="I207" s="33">
        <f>SUM('ДОУ БУ'!I207+'ДОУ АУ'!I207)</f>
        <v>0</v>
      </c>
      <c r="J207" s="33"/>
      <c r="K207" s="33">
        <f>SUM('ДОУ БУ'!K207+'ДОУ АУ'!K207)</f>
        <v>0</v>
      </c>
      <c r="L207" s="33"/>
      <c r="M207" s="33">
        <f>SUM('ДОУ БУ'!M207+'ДОУ АУ'!M207)</f>
        <v>0</v>
      </c>
      <c r="N207" s="33"/>
      <c r="O207" s="33">
        <f>SUM('ДОУ БУ'!O207+'ДОУ АУ'!O207)</f>
        <v>0</v>
      </c>
      <c r="P207" s="33"/>
      <c r="Q207" s="33"/>
      <c r="R207" s="33"/>
      <c r="S207" s="33">
        <f>SUM('ДОУ БУ'!S207+'ДОУ АУ'!S207)</f>
        <v>0</v>
      </c>
      <c r="T207" s="33">
        <f>SUM('ДОУ БУ'!T207+'ДОУ АУ'!T207)</f>
        <v>0</v>
      </c>
    </row>
    <row r="208" spans="1:20" s="6" customFormat="1" ht="16.5" x14ac:dyDescent="0.25">
      <c r="A208" s="63" t="s">
        <v>231</v>
      </c>
      <c r="B208" s="28" t="s">
        <v>49</v>
      </c>
      <c r="C208" s="51">
        <v>212</v>
      </c>
      <c r="D208" s="33">
        <f t="shared" si="41"/>
        <v>0</v>
      </c>
      <c r="E208" s="33">
        <f t="shared" si="42"/>
        <v>0</v>
      </c>
      <c r="F208" s="33"/>
      <c r="G208" s="33">
        <f>SUM('ДОУ БУ'!G208+'ДОУ АУ'!G208)</f>
        <v>0</v>
      </c>
      <c r="H208" s="33"/>
      <c r="I208" s="33">
        <f>SUM('ДОУ БУ'!I208+'ДОУ АУ'!I208)</f>
        <v>0</v>
      </c>
      <c r="J208" s="33"/>
      <c r="K208" s="33">
        <f>SUM('ДОУ БУ'!K208+'ДОУ АУ'!K208)</f>
        <v>0</v>
      </c>
      <c r="L208" s="33"/>
      <c r="M208" s="33">
        <f>SUM('ДОУ БУ'!M208+'ДОУ АУ'!M208)</f>
        <v>0</v>
      </c>
      <c r="N208" s="33"/>
      <c r="O208" s="33">
        <f>SUM('ДОУ БУ'!O208+'ДОУ АУ'!O208)</f>
        <v>0</v>
      </c>
      <c r="P208" s="33"/>
      <c r="Q208" s="33"/>
      <c r="R208" s="33"/>
      <c r="S208" s="33">
        <f>SUM('ДОУ БУ'!S208+'ДОУ АУ'!S208)</f>
        <v>0</v>
      </c>
      <c r="T208" s="33">
        <f>SUM('ДОУ БУ'!T208+'ДОУ АУ'!T208)</f>
        <v>0</v>
      </c>
    </row>
    <row r="209" spans="1:20" s="6" customFormat="1" ht="16.5" x14ac:dyDescent="0.25">
      <c r="A209" s="63" t="s">
        <v>232</v>
      </c>
      <c r="B209" s="28" t="s">
        <v>51</v>
      </c>
      <c r="C209" s="51">
        <v>213</v>
      </c>
      <c r="D209" s="33">
        <f t="shared" si="41"/>
        <v>0</v>
      </c>
      <c r="E209" s="33">
        <f t="shared" si="42"/>
        <v>0</v>
      </c>
      <c r="F209" s="33"/>
      <c r="G209" s="33">
        <f>SUM('ДОУ БУ'!G209+'ДОУ АУ'!G209)</f>
        <v>0</v>
      </c>
      <c r="H209" s="33"/>
      <c r="I209" s="33">
        <f>SUM('ДОУ БУ'!I209+'ДОУ АУ'!I209)</f>
        <v>0</v>
      </c>
      <c r="J209" s="33"/>
      <c r="K209" s="33">
        <f>SUM('ДОУ БУ'!K209+'ДОУ АУ'!K209)</f>
        <v>0</v>
      </c>
      <c r="L209" s="33"/>
      <c r="M209" s="33">
        <f>SUM('ДОУ БУ'!M209+'ДОУ АУ'!M209)</f>
        <v>0</v>
      </c>
      <c r="N209" s="33"/>
      <c r="O209" s="33">
        <f>SUM('ДОУ БУ'!O209+'ДОУ АУ'!O209)</f>
        <v>0</v>
      </c>
      <c r="P209" s="33"/>
      <c r="Q209" s="33"/>
      <c r="R209" s="33"/>
      <c r="S209" s="33">
        <f>SUM('ДОУ БУ'!S209+'ДОУ АУ'!S209)</f>
        <v>0</v>
      </c>
      <c r="T209" s="33">
        <f>SUM('ДОУ БУ'!T209+'ДОУ АУ'!T209)</f>
        <v>0</v>
      </c>
    </row>
    <row r="210" spans="1:20" s="6" customFormat="1" ht="16.5" x14ac:dyDescent="0.25">
      <c r="A210" s="63" t="s">
        <v>233</v>
      </c>
      <c r="B210" s="28" t="s">
        <v>53</v>
      </c>
      <c r="C210" s="51">
        <v>221</v>
      </c>
      <c r="D210" s="33">
        <f t="shared" si="41"/>
        <v>0</v>
      </c>
      <c r="E210" s="33">
        <f t="shared" si="42"/>
        <v>8970.9</v>
      </c>
      <c r="F210" s="33"/>
      <c r="G210" s="33">
        <f>SUM('ДОУ БУ'!G210+'ДОУ АУ'!G210)</f>
        <v>0</v>
      </c>
      <c r="H210" s="33"/>
      <c r="I210" s="33">
        <f>SUM('ДОУ БУ'!I210+'ДОУ АУ'!I210)</f>
        <v>0</v>
      </c>
      <c r="J210" s="33"/>
      <c r="K210" s="33">
        <f>SUM('ДОУ БУ'!K210+'ДОУ АУ'!K210)</f>
        <v>0</v>
      </c>
      <c r="L210" s="33"/>
      <c r="M210" s="33">
        <f>SUM('ДОУ БУ'!M210+'ДОУ АУ'!M210)</f>
        <v>0</v>
      </c>
      <c r="N210" s="33"/>
      <c r="O210" s="33">
        <f>SUM('ДОУ БУ'!O210+'ДОУ АУ'!O210)</f>
        <v>0</v>
      </c>
      <c r="P210" s="33"/>
      <c r="Q210" s="33"/>
      <c r="R210" s="33"/>
      <c r="S210" s="33">
        <f>SUM('ДОУ БУ'!S210+'ДОУ АУ'!S210)</f>
        <v>0</v>
      </c>
      <c r="T210" s="33">
        <f>SUM('ДОУ БУ'!T210+'ДОУ АУ'!T210)</f>
        <v>8970.9</v>
      </c>
    </row>
    <row r="211" spans="1:20" s="6" customFormat="1" ht="16.5" x14ac:dyDescent="0.25">
      <c r="A211" s="63" t="s">
        <v>234</v>
      </c>
      <c r="B211" s="28" t="s">
        <v>55</v>
      </c>
      <c r="C211" s="51">
        <v>222</v>
      </c>
      <c r="D211" s="33">
        <f t="shared" si="41"/>
        <v>0</v>
      </c>
      <c r="E211" s="33">
        <f t="shared" si="42"/>
        <v>0</v>
      </c>
      <c r="F211" s="33"/>
      <c r="G211" s="33">
        <f>SUM('ДОУ БУ'!G211+'ДОУ АУ'!G211)</f>
        <v>0</v>
      </c>
      <c r="H211" s="33"/>
      <c r="I211" s="33">
        <f>SUM('ДОУ БУ'!I211+'ДОУ АУ'!I211)</f>
        <v>0</v>
      </c>
      <c r="J211" s="33"/>
      <c r="K211" s="33">
        <f>SUM('ДОУ БУ'!K211+'ДОУ АУ'!K211)</f>
        <v>0</v>
      </c>
      <c r="L211" s="33"/>
      <c r="M211" s="33">
        <f>SUM('ДОУ БУ'!M211+'ДОУ АУ'!M211)</f>
        <v>0</v>
      </c>
      <c r="N211" s="33"/>
      <c r="O211" s="33">
        <f>SUM('ДОУ БУ'!O211+'ДОУ АУ'!O211)</f>
        <v>0</v>
      </c>
      <c r="P211" s="33"/>
      <c r="Q211" s="33"/>
      <c r="R211" s="33"/>
      <c r="S211" s="33">
        <f>SUM('ДОУ БУ'!S211+'ДОУ АУ'!S211)</f>
        <v>0</v>
      </c>
      <c r="T211" s="33">
        <f>SUM('ДОУ БУ'!T211+'ДОУ АУ'!T211)</f>
        <v>0</v>
      </c>
    </row>
    <row r="212" spans="1:20" s="6" customFormat="1" ht="16.5" x14ac:dyDescent="0.25">
      <c r="A212" s="63" t="s">
        <v>235</v>
      </c>
      <c r="B212" s="28" t="s">
        <v>57</v>
      </c>
      <c r="C212" s="51">
        <v>223</v>
      </c>
      <c r="D212" s="33">
        <f t="shared" si="41"/>
        <v>0</v>
      </c>
      <c r="E212" s="33">
        <f t="shared" si="42"/>
        <v>0</v>
      </c>
      <c r="F212" s="33"/>
      <c r="G212" s="33">
        <f>SUM('ДОУ БУ'!G212+'ДОУ АУ'!G212)</f>
        <v>0</v>
      </c>
      <c r="H212" s="33"/>
      <c r="I212" s="33">
        <f>SUM('ДОУ БУ'!I212+'ДОУ АУ'!I212)</f>
        <v>0</v>
      </c>
      <c r="J212" s="33"/>
      <c r="K212" s="33">
        <f>SUM('ДОУ БУ'!K212+'ДОУ АУ'!K212)</f>
        <v>0</v>
      </c>
      <c r="L212" s="33"/>
      <c r="M212" s="33">
        <f>SUM('ДОУ БУ'!M212+'ДОУ АУ'!M212)</f>
        <v>0</v>
      </c>
      <c r="N212" s="33"/>
      <c r="O212" s="33">
        <f>SUM('ДОУ БУ'!O212+'ДОУ АУ'!O212)</f>
        <v>0</v>
      </c>
      <c r="P212" s="33"/>
      <c r="Q212" s="33"/>
      <c r="R212" s="33"/>
      <c r="S212" s="33">
        <f>SUM('ДОУ БУ'!S212+'ДОУ АУ'!S212)</f>
        <v>0</v>
      </c>
      <c r="T212" s="33">
        <f>SUM('ДОУ БУ'!T212+'ДОУ АУ'!T212)</f>
        <v>0</v>
      </c>
    </row>
    <row r="213" spans="1:20" s="6" customFormat="1" ht="16.5" hidden="1" x14ac:dyDescent="0.25">
      <c r="A213" s="63"/>
      <c r="B213" s="58" t="s">
        <v>213</v>
      </c>
      <c r="C213" s="51">
        <v>223</v>
      </c>
      <c r="D213" s="33">
        <f t="shared" si="41"/>
        <v>0</v>
      </c>
      <c r="E213" s="33">
        <f t="shared" si="42"/>
        <v>0</v>
      </c>
      <c r="F213" s="33"/>
      <c r="G213" s="33">
        <f>SUM('ДОУ БУ'!G213+'ДОУ АУ'!G213)</f>
        <v>0</v>
      </c>
      <c r="H213" s="33"/>
      <c r="I213" s="33">
        <f>SUM('ДОУ БУ'!I213+'ДОУ АУ'!I213)</f>
        <v>0</v>
      </c>
      <c r="J213" s="33"/>
      <c r="K213" s="33">
        <f>SUM('ДОУ БУ'!K213+'ДОУ АУ'!K213)</f>
        <v>0</v>
      </c>
      <c r="L213" s="33"/>
      <c r="M213" s="33">
        <f>SUM('ДОУ БУ'!M213+'ДОУ АУ'!M213)</f>
        <v>0</v>
      </c>
      <c r="N213" s="33"/>
      <c r="O213" s="33">
        <f>SUM('ДОУ БУ'!O213+'ДОУ АУ'!O213)</f>
        <v>0</v>
      </c>
      <c r="P213" s="33"/>
      <c r="Q213" s="33"/>
      <c r="R213" s="33"/>
      <c r="S213" s="33">
        <f>SUM('ДОУ БУ'!S213+'ДОУ АУ'!S213)</f>
        <v>0</v>
      </c>
      <c r="T213" s="33">
        <f>SUM('ДОУ БУ'!T213+'ДОУ АУ'!T213)</f>
        <v>0</v>
      </c>
    </row>
    <row r="214" spans="1:20" s="6" customFormat="1" ht="16.5" hidden="1" x14ac:dyDescent="0.25">
      <c r="A214" s="63"/>
      <c r="B214" s="58" t="s">
        <v>214</v>
      </c>
      <c r="C214" s="51">
        <v>223</v>
      </c>
      <c r="D214" s="33">
        <f t="shared" si="41"/>
        <v>0</v>
      </c>
      <c r="E214" s="33">
        <f t="shared" si="42"/>
        <v>0</v>
      </c>
      <c r="F214" s="33"/>
      <c r="G214" s="33">
        <f>SUM('ДОУ БУ'!G214+'ДОУ АУ'!G214)</f>
        <v>0</v>
      </c>
      <c r="H214" s="33"/>
      <c r="I214" s="33">
        <f>SUM('ДОУ БУ'!I214+'ДОУ АУ'!I214)</f>
        <v>0</v>
      </c>
      <c r="J214" s="33"/>
      <c r="K214" s="33">
        <f>SUM('ДОУ БУ'!K214+'ДОУ АУ'!K214)</f>
        <v>0</v>
      </c>
      <c r="L214" s="33"/>
      <c r="M214" s="33">
        <f>SUM('ДОУ БУ'!M214+'ДОУ АУ'!M214)</f>
        <v>0</v>
      </c>
      <c r="N214" s="33"/>
      <c r="O214" s="33">
        <f>SUM('ДОУ БУ'!O214+'ДОУ АУ'!O214)</f>
        <v>0</v>
      </c>
      <c r="P214" s="33"/>
      <c r="Q214" s="33"/>
      <c r="R214" s="33"/>
      <c r="S214" s="33">
        <f>SUM('ДОУ БУ'!S214+'ДОУ АУ'!S214)</f>
        <v>0</v>
      </c>
      <c r="T214" s="33">
        <f>SUM('ДОУ БУ'!T214+'ДОУ АУ'!T214)</f>
        <v>0</v>
      </c>
    </row>
    <row r="215" spans="1:20" s="6" customFormat="1" ht="16.5" hidden="1" x14ac:dyDescent="0.25">
      <c r="A215" s="63"/>
      <c r="B215" s="58" t="s">
        <v>215</v>
      </c>
      <c r="C215" s="51">
        <v>223</v>
      </c>
      <c r="D215" s="33">
        <f t="shared" si="41"/>
        <v>0</v>
      </c>
      <c r="E215" s="33">
        <f t="shared" si="42"/>
        <v>0</v>
      </c>
      <c r="F215" s="33"/>
      <c r="G215" s="33">
        <f>SUM('ДОУ БУ'!G215+'ДОУ АУ'!G215)</f>
        <v>0</v>
      </c>
      <c r="H215" s="33"/>
      <c r="I215" s="33">
        <f>SUM('ДОУ БУ'!I215+'ДОУ АУ'!I215)</f>
        <v>0</v>
      </c>
      <c r="J215" s="33"/>
      <c r="K215" s="33">
        <f>SUM('ДОУ БУ'!K215+'ДОУ АУ'!K215)</f>
        <v>0</v>
      </c>
      <c r="L215" s="33"/>
      <c r="M215" s="33">
        <f>SUM('ДОУ БУ'!M215+'ДОУ АУ'!M215)</f>
        <v>0</v>
      </c>
      <c r="N215" s="33"/>
      <c r="O215" s="33">
        <f>SUM('ДОУ БУ'!O215+'ДОУ АУ'!O215)</f>
        <v>0</v>
      </c>
      <c r="P215" s="33"/>
      <c r="Q215" s="33"/>
      <c r="R215" s="33"/>
      <c r="S215" s="33">
        <f>SUM('ДОУ БУ'!S215+'ДОУ АУ'!S215)</f>
        <v>0</v>
      </c>
      <c r="T215" s="33">
        <f>SUM('ДОУ БУ'!T215+'ДОУ АУ'!T215)</f>
        <v>0</v>
      </c>
    </row>
    <row r="216" spans="1:20" s="6" customFormat="1" ht="16.5" x14ac:dyDescent="0.25">
      <c r="A216" s="63" t="s">
        <v>236</v>
      </c>
      <c r="B216" s="58" t="s">
        <v>217</v>
      </c>
      <c r="C216" s="51">
        <v>224</v>
      </c>
      <c r="D216" s="33">
        <f t="shared" ref="D216:D258" si="52">SUM(G216+I216+K216+M216+O216+Q216+S216)</f>
        <v>0</v>
      </c>
      <c r="E216" s="33">
        <f t="shared" ref="E216:E258" si="53">SUM(H216+J216+L216+N216+P216+R216+T216)</f>
        <v>0</v>
      </c>
      <c r="F216" s="33"/>
      <c r="G216" s="33">
        <f>SUM('ДОУ БУ'!G216+'ДОУ АУ'!G216)</f>
        <v>0</v>
      </c>
      <c r="H216" s="33"/>
      <c r="I216" s="33">
        <f>SUM('ДОУ БУ'!I216+'ДОУ АУ'!I216)</f>
        <v>0</v>
      </c>
      <c r="J216" s="33"/>
      <c r="K216" s="33">
        <f>SUM('ДОУ БУ'!K216+'ДОУ АУ'!K216)</f>
        <v>0</v>
      </c>
      <c r="L216" s="33"/>
      <c r="M216" s="33">
        <f>SUM('ДОУ БУ'!M216+'ДОУ АУ'!M216)</f>
        <v>0</v>
      </c>
      <c r="N216" s="33"/>
      <c r="O216" s="33">
        <f>SUM('ДОУ БУ'!O216+'ДОУ АУ'!O216)</f>
        <v>0</v>
      </c>
      <c r="P216" s="33"/>
      <c r="Q216" s="33"/>
      <c r="R216" s="33"/>
      <c r="S216" s="33">
        <f>SUM('ДОУ БУ'!S216+'ДОУ АУ'!S216)</f>
        <v>0</v>
      </c>
      <c r="T216" s="33">
        <f>SUM('ДОУ БУ'!T216+'ДОУ АУ'!T216)</f>
        <v>0</v>
      </c>
    </row>
    <row r="217" spans="1:20" s="6" customFormat="1" ht="16.5" x14ac:dyDescent="0.25">
      <c r="A217" s="63" t="s">
        <v>237</v>
      </c>
      <c r="B217" s="58" t="s">
        <v>219</v>
      </c>
      <c r="C217" s="51">
        <v>225</v>
      </c>
      <c r="D217" s="33">
        <f t="shared" si="52"/>
        <v>0</v>
      </c>
      <c r="E217" s="33">
        <f t="shared" si="53"/>
        <v>0</v>
      </c>
      <c r="F217" s="33"/>
      <c r="G217" s="33">
        <f>SUM('ДОУ БУ'!G217+'ДОУ АУ'!G217)</f>
        <v>0</v>
      </c>
      <c r="H217" s="33"/>
      <c r="I217" s="33">
        <f>SUM('ДОУ БУ'!I217+'ДОУ АУ'!I217)</f>
        <v>0</v>
      </c>
      <c r="J217" s="33"/>
      <c r="K217" s="33">
        <f>SUM('ДОУ БУ'!K217+'ДОУ АУ'!K217)</f>
        <v>0</v>
      </c>
      <c r="L217" s="33"/>
      <c r="M217" s="33">
        <f>SUM('ДОУ БУ'!M217+'ДОУ АУ'!M217)</f>
        <v>0</v>
      </c>
      <c r="N217" s="33"/>
      <c r="O217" s="33">
        <f>SUM('ДОУ БУ'!O217+'ДОУ АУ'!O217)</f>
        <v>0</v>
      </c>
      <c r="P217" s="33"/>
      <c r="Q217" s="33"/>
      <c r="R217" s="33"/>
      <c r="S217" s="33">
        <f>SUM('ДОУ БУ'!S217+'ДОУ АУ'!S217)</f>
        <v>0</v>
      </c>
      <c r="T217" s="33">
        <f>SUM('ДОУ БУ'!T217+'ДОУ АУ'!T217)</f>
        <v>0</v>
      </c>
    </row>
    <row r="218" spans="1:20" s="6" customFormat="1" ht="16.5" x14ac:dyDescent="0.25">
      <c r="A218" s="63" t="s">
        <v>238</v>
      </c>
      <c r="B218" s="28" t="s">
        <v>64</v>
      </c>
      <c r="C218" s="51">
        <v>225</v>
      </c>
      <c r="D218" s="33">
        <f t="shared" si="52"/>
        <v>1200000</v>
      </c>
      <c r="E218" s="33">
        <f t="shared" si="53"/>
        <v>421780.54</v>
      </c>
      <c r="F218" s="33"/>
      <c r="G218" s="33">
        <f>SUM('ДОУ БУ'!G218+'ДОУ АУ'!G218)</f>
        <v>0</v>
      </c>
      <c r="H218" s="33"/>
      <c r="I218" s="33">
        <f>SUM('ДОУ БУ'!I218+'ДОУ АУ'!I218)</f>
        <v>0</v>
      </c>
      <c r="J218" s="33"/>
      <c r="K218" s="33">
        <f>SUM('ДОУ БУ'!K218+'ДОУ АУ'!K218)</f>
        <v>0</v>
      </c>
      <c r="L218" s="33"/>
      <c r="M218" s="33">
        <f>SUM('ДОУ БУ'!M218+'ДОУ АУ'!M218)</f>
        <v>0</v>
      </c>
      <c r="N218" s="33"/>
      <c r="O218" s="33">
        <f>SUM('ДОУ БУ'!O218+'ДОУ АУ'!O218)</f>
        <v>0</v>
      </c>
      <c r="P218" s="33"/>
      <c r="Q218" s="33"/>
      <c r="R218" s="33"/>
      <c r="S218" s="33">
        <f>SUM('ДОУ БУ'!S218+'ДОУ АУ'!S218)</f>
        <v>1200000</v>
      </c>
      <c r="T218" s="33">
        <f>SUM('ДОУ БУ'!T218+'ДОУ АУ'!T218)</f>
        <v>421780.54</v>
      </c>
    </row>
    <row r="219" spans="1:20" s="6" customFormat="1" ht="16.5" x14ac:dyDescent="0.25">
      <c r="A219" s="63" t="s">
        <v>239</v>
      </c>
      <c r="B219" s="28" t="s">
        <v>66</v>
      </c>
      <c r="C219" s="51">
        <v>226</v>
      </c>
      <c r="D219" s="33">
        <f t="shared" si="52"/>
        <v>960000</v>
      </c>
      <c r="E219" s="33">
        <f t="shared" si="53"/>
        <v>165489.10999999999</v>
      </c>
      <c r="F219" s="33"/>
      <c r="G219" s="33">
        <f>SUM('ДОУ БУ'!G219+'ДОУ АУ'!G219)</f>
        <v>0</v>
      </c>
      <c r="H219" s="33"/>
      <c r="I219" s="33">
        <f>SUM('ДОУ БУ'!I219+'ДОУ АУ'!I219)</f>
        <v>0</v>
      </c>
      <c r="J219" s="33"/>
      <c r="K219" s="33">
        <f>SUM('ДОУ БУ'!K219+'ДОУ АУ'!K219)</f>
        <v>0</v>
      </c>
      <c r="L219" s="33"/>
      <c r="M219" s="33">
        <f>SUM('ДОУ БУ'!M219+'ДОУ АУ'!M219)</f>
        <v>0</v>
      </c>
      <c r="N219" s="33"/>
      <c r="O219" s="33">
        <f>SUM('ДОУ БУ'!O219+'ДОУ АУ'!O219)</f>
        <v>0</v>
      </c>
      <c r="P219" s="33"/>
      <c r="Q219" s="33"/>
      <c r="R219" s="33"/>
      <c r="S219" s="33">
        <f>SUM('ДОУ БУ'!S219+'ДОУ АУ'!S219)</f>
        <v>960000</v>
      </c>
      <c r="T219" s="33">
        <f>SUM('ДОУ БУ'!T219+'ДОУ АУ'!T219)</f>
        <v>165489.10999999999</v>
      </c>
    </row>
    <row r="220" spans="1:20" s="6" customFormat="1" ht="16.5" x14ac:dyDescent="0.25">
      <c r="A220" s="63" t="s">
        <v>240</v>
      </c>
      <c r="B220" s="28" t="s">
        <v>68</v>
      </c>
      <c r="C220" s="51">
        <v>290</v>
      </c>
      <c r="D220" s="33">
        <f t="shared" si="52"/>
        <v>850000</v>
      </c>
      <c r="E220" s="33">
        <f t="shared" si="53"/>
        <v>368219</v>
      </c>
      <c r="F220" s="33"/>
      <c r="G220" s="33">
        <f>SUM('ДОУ БУ'!G220+'ДОУ АУ'!G220)</f>
        <v>0</v>
      </c>
      <c r="H220" s="33"/>
      <c r="I220" s="33">
        <f>SUM('ДОУ БУ'!I220+'ДОУ АУ'!I220)</f>
        <v>0</v>
      </c>
      <c r="J220" s="33"/>
      <c r="K220" s="33">
        <f>SUM('ДОУ БУ'!K220+'ДОУ АУ'!K220)</f>
        <v>0</v>
      </c>
      <c r="L220" s="33"/>
      <c r="M220" s="33">
        <f>SUM('ДОУ БУ'!M220+'ДОУ АУ'!M220)</f>
        <v>0</v>
      </c>
      <c r="N220" s="33"/>
      <c r="O220" s="33">
        <f>SUM('ДОУ БУ'!O220+'ДОУ АУ'!O220)</f>
        <v>0</v>
      </c>
      <c r="P220" s="33"/>
      <c r="Q220" s="33"/>
      <c r="R220" s="33"/>
      <c r="S220" s="33">
        <f>SUM('ДОУ БУ'!S220+'ДОУ АУ'!S220)</f>
        <v>850000</v>
      </c>
      <c r="T220" s="33">
        <f>SUM('ДОУ БУ'!T220+'ДОУ АУ'!T220)</f>
        <v>368219</v>
      </c>
    </row>
    <row r="221" spans="1:20" s="6" customFormat="1" ht="16.5" x14ac:dyDescent="0.25">
      <c r="A221" s="63" t="s">
        <v>241</v>
      </c>
      <c r="B221" s="58" t="s">
        <v>72</v>
      </c>
      <c r="C221" s="51">
        <v>310</v>
      </c>
      <c r="D221" s="33">
        <f t="shared" si="52"/>
        <v>1245203.6200000001</v>
      </c>
      <c r="E221" s="33">
        <f t="shared" si="53"/>
        <v>73927</v>
      </c>
      <c r="F221" s="33"/>
      <c r="G221" s="33">
        <f>SUM('ДОУ БУ'!G221+'ДОУ АУ'!G221)</f>
        <v>0</v>
      </c>
      <c r="H221" s="33"/>
      <c r="I221" s="33">
        <f>SUM('ДОУ БУ'!I221+'ДОУ АУ'!I221)</f>
        <v>0</v>
      </c>
      <c r="J221" s="33"/>
      <c r="K221" s="33">
        <f>SUM('ДОУ БУ'!K221+'ДОУ АУ'!K221)</f>
        <v>0</v>
      </c>
      <c r="L221" s="33"/>
      <c r="M221" s="33">
        <f>SUM('ДОУ БУ'!M221+'ДОУ АУ'!M221)</f>
        <v>0</v>
      </c>
      <c r="N221" s="33"/>
      <c r="O221" s="33">
        <f>SUM('ДОУ БУ'!O221+'ДОУ АУ'!O221)</f>
        <v>0</v>
      </c>
      <c r="P221" s="33"/>
      <c r="Q221" s="33"/>
      <c r="R221" s="33"/>
      <c r="S221" s="33">
        <f>SUM('ДОУ БУ'!S221+'ДОУ АУ'!S221)</f>
        <v>1245203.6200000001</v>
      </c>
      <c r="T221" s="33">
        <f>SUM('ДОУ БУ'!T221+'ДОУ АУ'!T221)</f>
        <v>73927</v>
      </c>
    </row>
    <row r="222" spans="1:20" s="6" customFormat="1" ht="16.5" x14ac:dyDescent="0.25">
      <c r="A222" s="63" t="s">
        <v>242</v>
      </c>
      <c r="B222" s="58" t="s">
        <v>243</v>
      </c>
      <c r="C222" s="51">
        <v>340</v>
      </c>
      <c r="D222" s="33">
        <f t="shared" si="52"/>
        <v>1200000</v>
      </c>
      <c r="E222" s="33">
        <f t="shared" si="53"/>
        <v>77432.3</v>
      </c>
      <c r="F222" s="33"/>
      <c r="G222" s="33">
        <f>SUM('ДОУ БУ'!G222+'ДОУ АУ'!G222)</f>
        <v>0</v>
      </c>
      <c r="H222" s="33"/>
      <c r="I222" s="33">
        <f>SUM('ДОУ БУ'!I222+'ДОУ АУ'!I222)</f>
        <v>0</v>
      </c>
      <c r="J222" s="33"/>
      <c r="K222" s="33">
        <f>SUM('ДОУ БУ'!K222+'ДОУ АУ'!K222)</f>
        <v>0</v>
      </c>
      <c r="L222" s="33"/>
      <c r="M222" s="33">
        <f>SUM('ДОУ БУ'!M222+'ДОУ АУ'!M222)</f>
        <v>0</v>
      </c>
      <c r="N222" s="33"/>
      <c r="O222" s="33">
        <f>SUM('ДОУ БУ'!O222+'ДОУ АУ'!O222)</f>
        <v>0</v>
      </c>
      <c r="P222" s="33"/>
      <c r="Q222" s="33"/>
      <c r="R222" s="33"/>
      <c r="S222" s="33">
        <f>SUM('ДОУ БУ'!S222+'ДОУ АУ'!S222)</f>
        <v>1200000</v>
      </c>
      <c r="T222" s="33">
        <f>SUM('ДОУ БУ'!T222+'ДОУ АУ'!T222)</f>
        <v>77432.3</v>
      </c>
    </row>
    <row r="223" spans="1:20" s="18" customFormat="1" ht="17.25" x14ac:dyDescent="0.25">
      <c r="A223" s="61" t="s">
        <v>244</v>
      </c>
      <c r="B223" s="62" t="s">
        <v>40</v>
      </c>
      <c r="C223" s="49"/>
      <c r="D223" s="34">
        <f t="shared" ref="D223:S223" si="54">SUM(D224+D225+D226+D227+D228+D229+D233+D234+D235+D236+D237+D238+D239+D240)</f>
        <v>497937079.54000002</v>
      </c>
      <c r="E223" s="34">
        <f t="shared" si="54"/>
        <v>151822947.99999997</v>
      </c>
      <c r="F223" s="34"/>
      <c r="G223" s="34">
        <f t="shared" si="54"/>
        <v>0</v>
      </c>
      <c r="H223" s="34">
        <f t="shared" si="54"/>
        <v>0</v>
      </c>
      <c r="I223" s="34">
        <f t="shared" si="54"/>
        <v>0</v>
      </c>
      <c r="J223" s="34">
        <f t="shared" si="54"/>
        <v>0</v>
      </c>
      <c r="K223" s="34">
        <f t="shared" si="54"/>
        <v>0</v>
      </c>
      <c r="L223" s="34">
        <f t="shared" si="54"/>
        <v>0</v>
      </c>
      <c r="M223" s="34">
        <f t="shared" si="54"/>
        <v>0</v>
      </c>
      <c r="N223" s="34">
        <f t="shared" si="54"/>
        <v>0</v>
      </c>
      <c r="O223" s="34">
        <f t="shared" si="54"/>
        <v>0</v>
      </c>
      <c r="P223" s="34">
        <f t="shared" si="54"/>
        <v>0</v>
      </c>
      <c r="Q223" s="34">
        <f t="shared" si="54"/>
        <v>0</v>
      </c>
      <c r="R223" s="34">
        <f t="shared" si="54"/>
        <v>0</v>
      </c>
      <c r="S223" s="34">
        <f t="shared" si="54"/>
        <v>497937079.54000002</v>
      </c>
      <c r="T223" s="34">
        <f t="shared" ref="T223" si="55">SUM(T224+T225+T226+T227+T228+T229+T233+T234+T235+T236+T237+T238+T239+T240)</f>
        <v>151822947.99999997</v>
      </c>
    </row>
    <row r="224" spans="1:20" s="6" customFormat="1" ht="16.5" x14ac:dyDescent="0.25">
      <c r="A224" s="63" t="s">
        <v>245</v>
      </c>
      <c r="B224" s="28" t="s">
        <v>47</v>
      </c>
      <c r="C224" s="51">
        <v>211</v>
      </c>
      <c r="D224" s="33">
        <f t="shared" si="52"/>
        <v>0</v>
      </c>
      <c r="E224" s="33">
        <f t="shared" si="53"/>
        <v>0</v>
      </c>
      <c r="F224" s="33"/>
      <c r="G224" s="33">
        <f>SUM('ДОУ БУ'!G224+'ДОУ АУ'!G224)</f>
        <v>0</v>
      </c>
      <c r="H224" s="33"/>
      <c r="I224" s="33">
        <f>SUM('ДОУ БУ'!I224+'ДОУ АУ'!I224)</f>
        <v>0</v>
      </c>
      <c r="J224" s="33"/>
      <c r="K224" s="33">
        <f>SUM('ДОУ БУ'!K224+'ДОУ АУ'!K224)</f>
        <v>0</v>
      </c>
      <c r="L224" s="33"/>
      <c r="M224" s="33">
        <f>SUM('ДОУ БУ'!M224+'ДОУ АУ'!M224)</f>
        <v>0</v>
      </c>
      <c r="N224" s="33"/>
      <c r="O224" s="33">
        <f>SUM('ДОУ БУ'!O224+'ДОУ АУ'!O224)</f>
        <v>0</v>
      </c>
      <c r="P224" s="33"/>
      <c r="Q224" s="33"/>
      <c r="R224" s="33"/>
      <c r="S224" s="33">
        <f>SUM('ДОУ БУ'!S224+'ДОУ АУ'!S224)</f>
        <v>0</v>
      </c>
      <c r="T224" s="33">
        <f>SUM('ДОУ БУ'!T224+'ДОУ АУ'!T224)</f>
        <v>0</v>
      </c>
    </row>
    <row r="225" spans="1:20" s="6" customFormat="1" ht="16.5" x14ac:dyDescent="0.25">
      <c r="A225" s="63" t="s">
        <v>246</v>
      </c>
      <c r="B225" s="28" t="s">
        <v>49</v>
      </c>
      <c r="C225" s="51">
        <v>212</v>
      </c>
      <c r="D225" s="33">
        <f t="shared" si="52"/>
        <v>0</v>
      </c>
      <c r="E225" s="33">
        <f t="shared" si="53"/>
        <v>0</v>
      </c>
      <c r="F225" s="33"/>
      <c r="G225" s="33">
        <f>SUM('ДОУ БУ'!G225+'ДОУ АУ'!G225)</f>
        <v>0</v>
      </c>
      <c r="H225" s="33"/>
      <c r="I225" s="33">
        <f>SUM('ДОУ БУ'!I225+'ДОУ АУ'!I225)</f>
        <v>0</v>
      </c>
      <c r="J225" s="33"/>
      <c r="K225" s="33">
        <f>SUM('ДОУ БУ'!K225+'ДОУ АУ'!K225)</f>
        <v>0</v>
      </c>
      <c r="L225" s="33"/>
      <c r="M225" s="33">
        <f>SUM('ДОУ БУ'!M225+'ДОУ АУ'!M225)</f>
        <v>0</v>
      </c>
      <c r="N225" s="33"/>
      <c r="O225" s="33">
        <f>SUM('ДОУ БУ'!O225+'ДОУ АУ'!O225)</f>
        <v>0</v>
      </c>
      <c r="P225" s="33"/>
      <c r="Q225" s="33"/>
      <c r="R225" s="33"/>
      <c r="S225" s="33">
        <f>SUM('ДОУ БУ'!S225+'ДОУ АУ'!S225)</f>
        <v>0</v>
      </c>
      <c r="T225" s="33">
        <f>SUM('ДОУ БУ'!T225+'ДОУ АУ'!T225)</f>
        <v>0</v>
      </c>
    </row>
    <row r="226" spans="1:20" s="6" customFormat="1" ht="16.5" x14ac:dyDescent="0.25">
      <c r="A226" s="63" t="s">
        <v>247</v>
      </c>
      <c r="B226" s="28" t="s">
        <v>51</v>
      </c>
      <c r="C226" s="51">
        <v>213</v>
      </c>
      <c r="D226" s="33">
        <f t="shared" si="52"/>
        <v>0</v>
      </c>
      <c r="E226" s="33">
        <f t="shared" si="53"/>
        <v>0</v>
      </c>
      <c r="F226" s="33"/>
      <c r="G226" s="33">
        <f>SUM('ДОУ БУ'!G226+'ДОУ АУ'!G226)</f>
        <v>0</v>
      </c>
      <c r="H226" s="33"/>
      <c r="I226" s="33">
        <f>SUM('ДОУ БУ'!I226+'ДОУ АУ'!I226)</f>
        <v>0</v>
      </c>
      <c r="J226" s="33"/>
      <c r="K226" s="33">
        <f>SUM('ДОУ БУ'!K226+'ДОУ АУ'!K226)</f>
        <v>0</v>
      </c>
      <c r="L226" s="33"/>
      <c r="M226" s="33">
        <f>SUM('ДОУ БУ'!M226+'ДОУ АУ'!M226)</f>
        <v>0</v>
      </c>
      <c r="N226" s="33"/>
      <c r="O226" s="33">
        <f>SUM('ДОУ БУ'!O226+'ДОУ АУ'!O226)</f>
        <v>0</v>
      </c>
      <c r="P226" s="33"/>
      <c r="Q226" s="33"/>
      <c r="R226" s="33"/>
      <c r="S226" s="33">
        <f>SUM('ДОУ БУ'!S226+'ДОУ АУ'!S226)</f>
        <v>0</v>
      </c>
      <c r="T226" s="33">
        <f>SUM('ДОУ БУ'!T226+'ДОУ АУ'!T226)</f>
        <v>0</v>
      </c>
    </row>
    <row r="227" spans="1:20" s="6" customFormat="1" ht="16.5" x14ac:dyDescent="0.25">
      <c r="A227" s="63" t="s">
        <v>248</v>
      </c>
      <c r="B227" s="28" t="s">
        <v>53</v>
      </c>
      <c r="C227" s="51">
        <v>221</v>
      </c>
      <c r="D227" s="33">
        <f t="shared" si="52"/>
        <v>0</v>
      </c>
      <c r="E227" s="33">
        <f t="shared" si="53"/>
        <v>1316.41</v>
      </c>
      <c r="F227" s="33"/>
      <c r="G227" s="33">
        <f>SUM('ДОУ БУ'!G227+'ДОУ АУ'!G227)</f>
        <v>0</v>
      </c>
      <c r="H227" s="33"/>
      <c r="I227" s="33">
        <f>SUM('ДОУ БУ'!I227+'ДОУ АУ'!I227)</f>
        <v>0</v>
      </c>
      <c r="J227" s="33"/>
      <c r="K227" s="33">
        <f>SUM('ДОУ БУ'!K227+'ДОУ АУ'!K227)</f>
        <v>0</v>
      </c>
      <c r="L227" s="33"/>
      <c r="M227" s="33">
        <f>SUM('ДОУ БУ'!M227+'ДОУ АУ'!M227)</f>
        <v>0</v>
      </c>
      <c r="N227" s="33"/>
      <c r="O227" s="33">
        <f>SUM('ДОУ БУ'!O227+'ДОУ АУ'!O227)</f>
        <v>0</v>
      </c>
      <c r="P227" s="33"/>
      <c r="Q227" s="33"/>
      <c r="R227" s="33"/>
      <c r="S227" s="33">
        <f>SUM('ДОУ БУ'!S227+'ДОУ АУ'!S227)</f>
        <v>0</v>
      </c>
      <c r="T227" s="33">
        <f>SUM('ДОУ БУ'!T227+'ДОУ АУ'!T227)</f>
        <v>1316.41</v>
      </c>
    </row>
    <row r="228" spans="1:20" s="6" customFormat="1" ht="16.5" x14ac:dyDescent="0.25">
      <c r="A228" s="63" t="s">
        <v>249</v>
      </c>
      <c r="B228" s="28" t="s">
        <v>55</v>
      </c>
      <c r="C228" s="51">
        <v>222</v>
      </c>
      <c r="D228" s="33">
        <f t="shared" si="52"/>
        <v>0</v>
      </c>
      <c r="E228" s="33">
        <f t="shared" si="53"/>
        <v>500</v>
      </c>
      <c r="F228" s="33"/>
      <c r="G228" s="33">
        <f>SUM('ДОУ БУ'!G228+'ДОУ АУ'!G228)</f>
        <v>0</v>
      </c>
      <c r="H228" s="33"/>
      <c r="I228" s="33">
        <f>SUM('ДОУ БУ'!I228+'ДОУ АУ'!I228)</f>
        <v>0</v>
      </c>
      <c r="J228" s="33"/>
      <c r="K228" s="33">
        <f>SUM('ДОУ БУ'!K228+'ДОУ АУ'!K228)</f>
        <v>0</v>
      </c>
      <c r="L228" s="33"/>
      <c r="M228" s="33">
        <f>SUM('ДОУ БУ'!M228+'ДОУ АУ'!M228)</f>
        <v>0</v>
      </c>
      <c r="N228" s="33"/>
      <c r="O228" s="33">
        <f>SUM('ДОУ БУ'!O228+'ДОУ АУ'!O228)</f>
        <v>0</v>
      </c>
      <c r="P228" s="33"/>
      <c r="Q228" s="33"/>
      <c r="R228" s="33"/>
      <c r="S228" s="33">
        <f>SUM('ДОУ БУ'!S228+'ДОУ АУ'!S228)</f>
        <v>0</v>
      </c>
      <c r="T228" s="33">
        <f>SUM('ДОУ БУ'!T228+'ДОУ АУ'!T228)</f>
        <v>500</v>
      </c>
    </row>
    <row r="229" spans="1:20" s="6" customFormat="1" ht="16.5" x14ac:dyDescent="0.25">
      <c r="A229" s="63" t="s">
        <v>250</v>
      </c>
      <c r="B229" s="28" t="s">
        <v>57</v>
      </c>
      <c r="C229" s="51">
        <v>223</v>
      </c>
      <c r="D229" s="33">
        <f t="shared" si="52"/>
        <v>0</v>
      </c>
      <c r="E229" s="33">
        <f t="shared" si="53"/>
        <v>0</v>
      </c>
      <c r="F229" s="33"/>
      <c r="G229" s="33">
        <f>SUM('ДОУ БУ'!G229+'ДОУ АУ'!G229)</f>
        <v>0</v>
      </c>
      <c r="H229" s="33"/>
      <c r="I229" s="33">
        <f>SUM('ДОУ БУ'!I229+'ДОУ АУ'!I229)</f>
        <v>0</v>
      </c>
      <c r="J229" s="33"/>
      <c r="K229" s="33">
        <f>SUM('ДОУ БУ'!K229+'ДОУ АУ'!K229)</f>
        <v>0</v>
      </c>
      <c r="L229" s="33"/>
      <c r="M229" s="33">
        <f>SUM('ДОУ БУ'!M229+'ДОУ АУ'!M229)</f>
        <v>0</v>
      </c>
      <c r="N229" s="33"/>
      <c r="O229" s="33">
        <f>SUM('ДОУ БУ'!O229+'ДОУ АУ'!O229)</f>
        <v>0</v>
      </c>
      <c r="P229" s="33"/>
      <c r="Q229" s="33"/>
      <c r="R229" s="33"/>
      <c r="S229" s="33">
        <f>SUM('ДОУ БУ'!S229+'ДОУ АУ'!S229)</f>
        <v>0</v>
      </c>
      <c r="T229" s="33">
        <f>SUM('ДОУ БУ'!T229+'ДОУ АУ'!T229)</f>
        <v>0</v>
      </c>
    </row>
    <row r="230" spans="1:20" s="6" customFormat="1" ht="16.5" hidden="1" x14ac:dyDescent="0.25">
      <c r="A230" s="63"/>
      <c r="B230" s="58" t="s">
        <v>213</v>
      </c>
      <c r="C230" s="51">
        <v>223</v>
      </c>
      <c r="D230" s="33">
        <f t="shared" si="52"/>
        <v>0</v>
      </c>
      <c r="E230" s="33">
        <f t="shared" si="53"/>
        <v>0</v>
      </c>
      <c r="F230" s="33"/>
      <c r="G230" s="33">
        <f>SUM('ДОУ БУ'!G230+'ДОУ АУ'!G230)</f>
        <v>0</v>
      </c>
      <c r="H230" s="33"/>
      <c r="I230" s="33">
        <f>SUM('ДОУ БУ'!I230+'ДОУ АУ'!I230)</f>
        <v>0</v>
      </c>
      <c r="J230" s="33"/>
      <c r="K230" s="33">
        <f>SUM('ДОУ БУ'!K230+'ДОУ АУ'!K230)</f>
        <v>0</v>
      </c>
      <c r="L230" s="33"/>
      <c r="M230" s="33">
        <f>SUM('ДОУ БУ'!M230+'ДОУ АУ'!M230)</f>
        <v>0</v>
      </c>
      <c r="N230" s="33"/>
      <c r="O230" s="33">
        <f>SUM('ДОУ БУ'!O230+'ДОУ АУ'!O230)</f>
        <v>0</v>
      </c>
      <c r="P230" s="33"/>
      <c r="Q230" s="33"/>
      <c r="R230" s="33"/>
      <c r="S230" s="33">
        <f>SUM('ДОУ БУ'!S230+'ДОУ АУ'!S230)</f>
        <v>0</v>
      </c>
      <c r="T230" s="33">
        <f>SUM('ДОУ БУ'!T230+'ДОУ АУ'!T230)</f>
        <v>0</v>
      </c>
    </row>
    <row r="231" spans="1:20" s="6" customFormat="1" ht="16.5" hidden="1" x14ac:dyDescent="0.25">
      <c r="A231" s="63"/>
      <c r="B231" s="58" t="s">
        <v>214</v>
      </c>
      <c r="C231" s="51">
        <v>223</v>
      </c>
      <c r="D231" s="33">
        <f t="shared" si="52"/>
        <v>0</v>
      </c>
      <c r="E231" s="33">
        <f t="shared" si="53"/>
        <v>0</v>
      </c>
      <c r="F231" s="33"/>
      <c r="G231" s="33">
        <f>SUM('ДОУ БУ'!G231+'ДОУ АУ'!G231)</f>
        <v>0</v>
      </c>
      <c r="H231" s="33"/>
      <c r="I231" s="33">
        <f>SUM('ДОУ БУ'!I231+'ДОУ АУ'!I231)</f>
        <v>0</v>
      </c>
      <c r="J231" s="33"/>
      <c r="K231" s="33">
        <f>SUM('ДОУ БУ'!K231+'ДОУ АУ'!K231)</f>
        <v>0</v>
      </c>
      <c r="L231" s="33"/>
      <c r="M231" s="33">
        <f>SUM('ДОУ БУ'!M231+'ДОУ АУ'!M231)</f>
        <v>0</v>
      </c>
      <c r="N231" s="33"/>
      <c r="O231" s="33">
        <f>SUM('ДОУ БУ'!O231+'ДОУ АУ'!O231)</f>
        <v>0</v>
      </c>
      <c r="P231" s="33"/>
      <c r="Q231" s="33"/>
      <c r="R231" s="33"/>
      <c r="S231" s="33">
        <f>SUM('ДОУ БУ'!S231+'ДОУ АУ'!S231)</f>
        <v>0</v>
      </c>
      <c r="T231" s="33">
        <f>SUM('ДОУ БУ'!T231+'ДОУ АУ'!T231)</f>
        <v>0</v>
      </c>
    </row>
    <row r="232" spans="1:20" s="6" customFormat="1" ht="16.5" hidden="1" x14ac:dyDescent="0.25">
      <c r="A232" s="63"/>
      <c r="B232" s="58" t="s">
        <v>215</v>
      </c>
      <c r="C232" s="51">
        <v>223</v>
      </c>
      <c r="D232" s="33">
        <f t="shared" si="52"/>
        <v>0</v>
      </c>
      <c r="E232" s="33">
        <f t="shared" si="53"/>
        <v>0</v>
      </c>
      <c r="F232" s="33"/>
      <c r="G232" s="33">
        <f>SUM('ДОУ БУ'!G232+'ДОУ АУ'!G232)</f>
        <v>0</v>
      </c>
      <c r="H232" s="33"/>
      <c r="I232" s="33">
        <f>SUM('ДОУ БУ'!I232+'ДОУ АУ'!I232)</f>
        <v>0</v>
      </c>
      <c r="J232" s="33"/>
      <c r="K232" s="33">
        <f>SUM('ДОУ БУ'!K232+'ДОУ АУ'!K232)</f>
        <v>0</v>
      </c>
      <c r="L232" s="33"/>
      <c r="M232" s="33">
        <f>SUM('ДОУ БУ'!M232+'ДОУ АУ'!M232)</f>
        <v>0</v>
      </c>
      <c r="N232" s="33"/>
      <c r="O232" s="33">
        <f>SUM('ДОУ БУ'!O232+'ДОУ АУ'!O232)</f>
        <v>0</v>
      </c>
      <c r="P232" s="33"/>
      <c r="Q232" s="33"/>
      <c r="R232" s="33"/>
      <c r="S232" s="33">
        <f>SUM('ДОУ БУ'!S232+'ДОУ АУ'!S232)</f>
        <v>0</v>
      </c>
      <c r="T232" s="33">
        <f>SUM('ДОУ БУ'!T232+'ДОУ АУ'!T232)</f>
        <v>0</v>
      </c>
    </row>
    <row r="233" spans="1:20" s="6" customFormat="1" ht="16.5" x14ac:dyDescent="0.25">
      <c r="A233" s="63" t="s">
        <v>251</v>
      </c>
      <c r="B233" s="58" t="s">
        <v>217</v>
      </c>
      <c r="C233" s="51">
        <v>224</v>
      </c>
      <c r="D233" s="33">
        <f t="shared" si="52"/>
        <v>0</v>
      </c>
      <c r="E233" s="33">
        <f t="shared" si="53"/>
        <v>0</v>
      </c>
      <c r="F233" s="33"/>
      <c r="G233" s="33">
        <f>SUM('ДОУ БУ'!G233+'ДОУ АУ'!G233)</f>
        <v>0</v>
      </c>
      <c r="H233" s="33"/>
      <c r="I233" s="33">
        <f>SUM('ДОУ БУ'!I233+'ДОУ АУ'!I233)</f>
        <v>0</v>
      </c>
      <c r="J233" s="33"/>
      <c r="K233" s="33">
        <f>SUM('ДОУ БУ'!K233+'ДОУ АУ'!K233)</f>
        <v>0</v>
      </c>
      <c r="L233" s="33"/>
      <c r="M233" s="33">
        <f>SUM('ДОУ БУ'!M233+'ДОУ АУ'!M233)</f>
        <v>0</v>
      </c>
      <c r="N233" s="33"/>
      <c r="O233" s="33">
        <f>SUM('ДОУ БУ'!O233+'ДОУ АУ'!O233)</f>
        <v>0</v>
      </c>
      <c r="P233" s="33"/>
      <c r="Q233" s="33"/>
      <c r="R233" s="33"/>
      <c r="S233" s="33">
        <f>SUM('ДОУ БУ'!S233+'ДОУ АУ'!S233)</f>
        <v>0</v>
      </c>
      <c r="T233" s="33">
        <f>SUM('ДОУ БУ'!T233+'ДОУ АУ'!T233)</f>
        <v>0</v>
      </c>
    </row>
    <row r="234" spans="1:20" s="6" customFormat="1" ht="16.5" x14ac:dyDescent="0.25">
      <c r="A234" s="63" t="s">
        <v>252</v>
      </c>
      <c r="B234" s="58" t="s">
        <v>219</v>
      </c>
      <c r="C234" s="51">
        <v>225</v>
      </c>
      <c r="D234" s="33">
        <f t="shared" si="52"/>
        <v>0</v>
      </c>
      <c r="E234" s="33">
        <f t="shared" si="53"/>
        <v>0</v>
      </c>
      <c r="F234" s="33"/>
      <c r="G234" s="33">
        <f>SUM('ДОУ БУ'!G234+'ДОУ АУ'!G234)</f>
        <v>0</v>
      </c>
      <c r="H234" s="33"/>
      <c r="I234" s="33">
        <f>SUM('ДОУ БУ'!I234+'ДОУ АУ'!I234)</f>
        <v>0</v>
      </c>
      <c r="J234" s="33"/>
      <c r="K234" s="33">
        <f>SUM('ДОУ БУ'!K234+'ДОУ АУ'!K234)</f>
        <v>0</v>
      </c>
      <c r="L234" s="33"/>
      <c r="M234" s="33">
        <f>SUM('ДОУ БУ'!M234+'ДОУ АУ'!M234)</f>
        <v>0</v>
      </c>
      <c r="N234" s="33"/>
      <c r="O234" s="33">
        <f>SUM('ДОУ БУ'!O234+'ДОУ АУ'!O234)</f>
        <v>0</v>
      </c>
      <c r="P234" s="33"/>
      <c r="Q234" s="33"/>
      <c r="R234" s="33"/>
      <c r="S234" s="33">
        <f>SUM('ДОУ БУ'!S234+'ДОУ АУ'!S234)</f>
        <v>0</v>
      </c>
      <c r="T234" s="33">
        <f>SUM('ДОУ БУ'!T234+'ДОУ АУ'!T234)</f>
        <v>0</v>
      </c>
    </row>
    <row r="235" spans="1:20" s="6" customFormat="1" ht="16.5" x14ac:dyDescent="0.25">
      <c r="A235" s="63" t="s">
        <v>253</v>
      </c>
      <c r="B235" s="28" t="s">
        <v>64</v>
      </c>
      <c r="C235" s="51">
        <v>225</v>
      </c>
      <c r="D235" s="33">
        <f t="shared" si="52"/>
        <v>0</v>
      </c>
      <c r="E235" s="33">
        <f t="shared" si="53"/>
        <v>314173</v>
      </c>
      <c r="F235" s="33"/>
      <c r="G235" s="33">
        <f>SUM('ДОУ БУ'!G235+'ДОУ АУ'!G235)</f>
        <v>0</v>
      </c>
      <c r="H235" s="33"/>
      <c r="I235" s="33">
        <f>SUM('ДОУ БУ'!I235+'ДОУ АУ'!I235)</f>
        <v>0</v>
      </c>
      <c r="J235" s="33"/>
      <c r="K235" s="33">
        <f>SUM('ДОУ БУ'!K235+'ДОУ АУ'!K235)</f>
        <v>0</v>
      </c>
      <c r="L235" s="33"/>
      <c r="M235" s="33">
        <f>SUM('ДОУ БУ'!M235+'ДОУ АУ'!M235)</f>
        <v>0</v>
      </c>
      <c r="N235" s="33"/>
      <c r="O235" s="33">
        <f>SUM('ДОУ БУ'!O235+'ДОУ АУ'!O235)</f>
        <v>0</v>
      </c>
      <c r="P235" s="33"/>
      <c r="Q235" s="33"/>
      <c r="R235" s="33"/>
      <c r="S235" s="33">
        <f>SUM('ДОУ БУ'!S235+'ДОУ АУ'!S235)</f>
        <v>0</v>
      </c>
      <c r="T235" s="33">
        <f>SUM('ДОУ БУ'!T235+'ДОУ АУ'!T235)</f>
        <v>314173</v>
      </c>
    </row>
    <row r="236" spans="1:20" s="6" customFormat="1" ht="16.5" x14ac:dyDescent="0.25">
      <c r="A236" s="63" t="s">
        <v>254</v>
      </c>
      <c r="B236" s="28" t="s">
        <v>66</v>
      </c>
      <c r="C236" s="51">
        <v>226</v>
      </c>
      <c r="D236" s="33">
        <f t="shared" si="52"/>
        <v>0</v>
      </c>
      <c r="E236" s="33">
        <f t="shared" si="53"/>
        <v>202678</v>
      </c>
      <c r="F236" s="33"/>
      <c r="G236" s="33">
        <f>SUM('ДОУ БУ'!G236+'ДОУ АУ'!G236)</f>
        <v>0</v>
      </c>
      <c r="H236" s="33"/>
      <c r="I236" s="33">
        <f>SUM('ДОУ БУ'!I236+'ДОУ АУ'!I236)</f>
        <v>0</v>
      </c>
      <c r="J236" s="33"/>
      <c r="K236" s="33">
        <f>SUM('ДОУ БУ'!K236+'ДОУ АУ'!K236)</f>
        <v>0</v>
      </c>
      <c r="L236" s="33"/>
      <c r="M236" s="33">
        <f>SUM('ДОУ БУ'!M236+'ДОУ АУ'!M236)</f>
        <v>0</v>
      </c>
      <c r="N236" s="33"/>
      <c r="O236" s="33">
        <f>SUM('ДОУ БУ'!O236+'ДОУ АУ'!O236)</f>
        <v>0</v>
      </c>
      <c r="P236" s="33"/>
      <c r="Q236" s="33"/>
      <c r="R236" s="33"/>
      <c r="S236" s="33">
        <f>SUM('ДОУ БУ'!S236+'ДОУ АУ'!S236)</f>
        <v>0</v>
      </c>
      <c r="T236" s="33">
        <f>SUM('ДОУ БУ'!T236+'ДОУ АУ'!T236)</f>
        <v>202678</v>
      </c>
    </row>
    <row r="237" spans="1:20" s="6" customFormat="1" ht="16.5" x14ac:dyDescent="0.25">
      <c r="A237" s="63" t="s">
        <v>255</v>
      </c>
      <c r="B237" s="58" t="s">
        <v>225</v>
      </c>
      <c r="C237" s="51">
        <v>226</v>
      </c>
      <c r="D237" s="33">
        <f t="shared" si="52"/>
        <v>0</v>
      </c>
      <c r="E237" s="33">
        <f t="shared" si="53"/>
        <v>0</v>
      </c>
      <c r="F237" s="33"/>
      <c r="G237" s="33">
        <f>SUM('ДОУ БУ'!G237+'ДОУ АУ'!G237)</f>
        <v>0</v>
      </c>
      <c r="H237" s="33"/>
      <c r="I237" s="33">
        <f>SUM('ДОУ БУ'!I237+'ДОУ АУ'!I237)</f>
        <v>0</v>
      </c>
      <c r="J237" s="33"/>
      <c r="K237" s="33">
        <f>SUM('ДОУ БУ'!K237+'ДОУ АУ'!K237)</f>
        <v>0</v>
      </c>
      <c r="L237" s="33"/>
      <c r="M237" s="33">
        <f>SUM('ДОУ БУ'!M237+'ДОУ АУ'!M237)</f>
        <v>0</v>
      </c>
      <c r="N237" s="33"/>
      <c r="O237" s="33">
        <f>SUM('ДОУ БУ'!O237+'ДОУ АУ'!O237)</f>
        <v>0</v>
      </c>
      <c r="P237" s="33"/>
      <c r="Q237" s="33"/>
      <c r="R237" s="33"/>
      <c r="S237" s="33">
        <f>SUM('ДОУ БУ'!S237+'ДОУ АУ'!S237)</f>
        <v>0</v>
      </c>
      <c r="T237" s="33">
        <f>SUM('ДОУ БУ'!T237+'ДОУ АУ'!T237)</f>
        <v>0</v>
      </c>
    </row>
    <row r="238" spans="1:20" s="6" customFormat="1" ht="16.5" x14ac:dyDescent="0.25">
      <c r="A238" s="63" t="s">
        <v>256</v>
      </c>
      <c r="B238" s="28" t="s">
        <v>68</v>
      </c>
      <c r="C238" s="51">
        <v>290</v>
      </c>
      <c r="D238" s="33">
        <f t="shared" si="52"/>
        <v>0</v>
      </c>
      <c r="E238" s="33">
        <f t="shared" si="53"/>
        <v>316420</v>
      </c>
      <c r="F238" s="33"/>
      <c r="G238" s="33">
        <f>SUM('ДОУ БУ'!G238+'ДОУ АУ'!G238)</f>
        <v>0</v>
      </c>
      <c r="H238" s="33"/>
      <c r="I238" s="33">
        <f>SUM('ДОУ БУ'!I238+'ДОУ АУ'!I238)</f>
        <v>0</v>
      </c>
      <c r="J238" s="33"/>
      <c r="K238" s="33">
        <f>SUM('ДОУ БУ'!K238+'ДОУ АУ'!K238)</f>
        <v>0</v>
      </c>
      <c r="L238" s="33"/>
      <c r="M238" s="33">
        <f>SUM('ДОУ БУ'!M238+'ДОУ АУ'!M238)</f>
        <v>0</v>
      </c>
      <c r="N238" s="33"/>
      <c r="O238" s="33">
        <f>SUM('ДОУ БУ'!O238+'ДОУ АУ'!O238)</f>
        <v>0</v>
      </c>
      <c r="P238" s="33"/>
      <c r="Q238" s="33"/>
      <c r="R238" s="33"/>
      <c r="S238" s="33">
        <f>SUM('ДОУ БУ'!S238+'ДОУ АУ'!S238)</f>
        <v>0</v>
      </c>
      <c r="T238" s="33">
        <f>SUM('ДОУ БУ'!T238+'ДОУ АУ'!T238)</f>
        <v>316420</v>
      </c>
    </row>
    <row r="239" spans="1:20" s="6" customFormat="1" ht="16.5" x14ac:dyDescent="0.25">
      <c r="A239" s="63" t="s">
        <v>257</v>
      </c>
      <c r="B239" s="58" t="s">
        <v>72</v>
      </c>
      <c r="C239" s="51">
        <v>310</v>
      </c>
      <c r="D239" s="33">
        <f t="shared" si="52"/>
        <v>6575220.8099999996</v>
      </c>
      <c r="E239" s="33">
        <f t="shared" si="53"/>
        <v>3570917.01</v>
      </c>
      <c r="F239" s="33"/>
      <c r="G239" s="33">
        <f>SUM('ДОУ БУ'!G239+'ДОУ АУ'!G239)</f>
        <v>0</v>
      </c>
      <c r="H239" s="33"/>
      <c r="I239" s="33">
        <f>SUM('ДОУ БУ'!I239+'ДОУ АУ'!I239)</f>
        <v>0</v>
      </c>
      <c r="J239" s="33"/>
      <c r="K239" s="33">
        <f>SUM('ДОУ БУ'!K239+'ДОУ АУ'!K239)</f>
        <v>0</v>
      </c>
      <c r="L239" s="33"/>
      <c r="M239" s="33">
        <f>SUM('ДОУ БУ'!M239+'ДОУ АУ'!M239)</f>
        <v>0</v>
      </c>
      <c r="N239" s="33"/>
      <c r="O239" s="33">
        <f>SUM('ДОУ БУ'!O239+'ДОУ АУ'!O239)</f>
        <v>0</v>
      </c>
      <c r="P239" s="33"/>
      <c r="Q239" s="33"/>
      <c r="R239" s="33"/>
      <c r="S239" s="33">
        <f>SUM('ДОУ БУ'!S239+'ДОУ АУ'!S239)</f>
        <v>6575220.8099999996</v>
      </c>
      <c r="T239" s="33">
        <f>SUM('ДОУ БУ'!T239+'ДОУ АУ'!T239)</f>
        <v>3570917.01</v>
      </c>
    </row>
    <row r="240" spans="1:20" s="6" customFormat="1" ht="16.5" x14ac:dyDescent="0.25">
      <c r="A240" s="63" t="s">
        <v>258</v>
      </c>
      <c r="B240" s="58" t="s">
        <v>243</v>
      </c>
      <c r="C240" s="51">
        <v>340</v>
      </c>
      <c r="D240" s="33">
        <f t="shared" si="52"/>
        <v>491361858.73000002</v>
      </c>
      <c r="E240" s="33">
        <f t="shared" si="53"/>
        <v>147416943.57999998</v>
      </c>
      <c r="F240" s="33"/>
      <c r="G240" s="33">
        <f>SUM('ДОУ БУ'!G240+'ДОУ АУ'!G240)</f>
        <v>0</v>
      </c>
      <c r="H240" s="33"/>
      <c r="I240" s="33">
        <f>SUM('ДОУ БУ'!I240+'ДОУ АУ'!I240)</f>
        <v>0</v>
      </c>
      <c r="J240" s="33"/>
      <c r="K240" s="33">
        <f>SUM('ДОУ БУ'!K240+'ДОУ АУ'!K240)</f>
        <v>0</v>
      </c>
      <c r="L240" s="33"/>
      <c r="M240" s="33">
        <f>SUM('ДОУ БУ'!M240+'ДОУ АУ'!M240)</f>
        <v>0</v>
      </c>
      <c r="N240" s="33"/>
      <c r="O240" s="33">
        <f>SUM('ДОУ БУ'!O240+'ДОУ АУ'!O240)</f>
        <v>0</v>
      </c>
      <c r="P240" s="33"/>
      <c r="Q240" s="33"/>
      <c r="R240" s="33"/>
      <c r="S240" s="33">
        <f>SUM('ДОУ БУ'!S240+'ДОУ АУ'!S240)</f>
        <v>491361858.73000002</v>
      </c>
      <c r="T240" s="33">
        <f>SUM('ДОУ БУ'!T240+'ДОУ АУ'!T240)</f>
        <v>147416943.57999998</v>
      </c>
    </row>
    <row r="241" spans="1:20" s="18" customFormat="1" ht="17.25" x14ac:dyDescent="0.25">
      <c r="A241" s="61" t="s">
        <v>259</v>
      </c>
      <c r="B241" s="62" t="s">
        <v>41</v>
      </c>
      <c r="C241" s="49"/>
      <c r="D241" s="34">
        <f t="shared" ref="D241:S241" si="56">SUM(D242+D243+D244+D245+D246+D247+D251+D252+D253+D254+D255+D256+D257+D258)</f>
        <v>55438873.269999996</v>
      </c>
      <c r="E241" s="34">
        <f t="shared" si="56"/>
        <v>13843602.490000002</v>
      </c>
      <c r="F241" s="34"/>
      <c r="G241" s="34">
        <f t="shared" si="56"/>
        <v>0</v>
      </c>
      <c r="H241" s="34">
        <f t="shared" si="56"/>
        <v>0</v>
      </c>
      <c r="I241" s="34">
        <f t="shared" si="56"/>
        <v>0</v>
      </c>
      <c r="J241" s="34">
        <f t="shared" si="56"/>
        <v>0</v>
      </c>
      <c r="K241" s="34">
        <f t="shared" si="56"/>
        <v>0</v>
      </c>
      <c r="L241" s="34">
        <f t="shared" si="56"/>
        <v>0</v>
      </c>
      <c r="M241" s="34">
        <f t="shared" si="56"/>
        <v>0</v>
      </c>
      <c r="N241" s="34">
        <f t="shared" si="56"/>
        <v>0</v>
      </c>
      <c r="O241" s="34">
        <f t="shared" si="56"/>
        <v>0</v>
      </c>
      <c r="P241" s="34">
        <f t="shared" si="56"/>
        <v>0</v>
      </c>
      <c r="Q241" s="34">
        <f t="shared" si="56"/>
        <v>0</v>
      </c>
      <c r="R241" s="34">
        <f t="shared" si="56"/>
        <v>0</v>
      </c>
      <c r="S241" s="34">
        <f t="shared" si="56"/>
        <v>55438873.269999996</v>
      </c>
      <c r="T241" s="34">
        <f t="shared" ref="T241" si="57">SUM(T242+T243+T244+T245+T246+T247+T251+T252+T253+T254+T255+T256+T257+T258)</f>
        <v>13843602.490000002</v>
      </c>
    </row>
    <row r="242" spans="1:20" s="6" customFormat="1" ht="16.5" x14ac:dyDescent="0.25">
      <c r="A242" s="63" t="s">
        <v>260</v>
      </c>
      <c r="B242" s="28" t="s">
        <v>47</v>
      </c>
      <c r="C242" s="51">
        <v>211</v>
      </c>
      <c r="D242" s="33">
        <f t="shared" si="52"/>
        <v>0</v>
      </c>
      <c r="E242" s="33">
        <f t="shared" si="53"/>
        <v>0</v>
      </c>
      <c r="F242" s="33"/>
      <c r="G242" s="33">
        <f>SUM('ДОУ БУ'!G242+'ДОУ АУ'!G242)</f>
        <v>0</v>
      </c>
      <c r="H242" s="33"/>
      <c r="I242" s="33">
        <f>SUM('ДОУ БУ'!I242+'ДОУ АУ'!I242)</f>
        <v>0</v>
      </c>
      <c r="J242" s="33"/>
      <c r="K242" s="33">
        <f>SUM('ДОУ БУ'!K242+'ДОУ АУ'!K242)</f>
        <v>0</v>
      </c>
      <c r="L242" s="33"/>
      <c r="M242" s="33">
        <f>SUM('ДОУ БУ'!M242+'ДОУ АУ'!M242)</f>
        <v>0</v>
      </c>
      <c r="N242" s="33"/>
      <c r="O242" s="33">
        <f>SUM('ДОУ БУ'!O242+'ДОУ АУ'!O242)</f>
        <v>0</v>
      </c>
      <c r="P242" s="33"/>
      <c r="Q242" s="33"/>
      <c r="R242" s="33"/>
      <c r="S242" s="33">
        <f>SUM('ДОУ БУ'!S242+'ДОУ АУ'!S242)</f>
        <v>0</v>
      </c>
      <c r="T242" s="33">
        <f>SUM('ДОУ БУ'!T242+'ДОУ АУ'!T242)</f>
        <v>0</v>
      </c>
    </row>
    <row r="243" spans="1:20" s="6" customFormat="1" ht="16.5" x14ac:dyDescent="0.25">
      <c r="A243" s="63" t="s">
        <v>261</v>
      </c>
      <c r="B243" s="28" t="s">
        <v>49</v>
      </c>
      <c r="C243" s="51">
        <v>212</v>
      </c>
      <c r="D243" s="33">
        <f t="shared" si="52"/>
        <v>4400</v>
      </c>
      <c r="E243" s="33">
        <f t="shared" si="53"/>
        <v>0</v>
      </c>
      <c r="F243" s="33"/>
      <c r="G243" s="33">
        <f>SUM('ДОУ БУ'!G243+'ДОУ АУ'!G243)</f>
        <v>0</v>
      </c>
      <c r="H243" s="33"/>
      <c r="I243" s="33">
        <f>SUM('ДОУ БУ'!I243+'ДОУ АУ'!I243)</f>
        <v>0</v>
      </c>
      <c r="J243" s="33"/>
      <c r="K243" s="33">
        <f>SUM('ДОУ БУ'!K243+'ДОУ АУ'!K243)</f>
        <v>0</v>
      </c>
      <c r="L243" s="33"/>
      <c r="M243" s="33">
        <f>SUM('ДОУ БУ'!M243+'ДОУ АУ'!M243)</f>
        <v>0</v>
      </c>
      <c r="N243" s="33"/>
      <c r="O243" s="33">
        <f>SUM('ДОУ БУ'!O243+'ДОУ АУ'!O243)</f>
        <v>0</v>
      </c>
      <c r="P243" s="33"/>
      <c r="Q243" s="33"/>
      <c r="R243" s="33"/>
      <c r="S243" s="33">
        <f>SUM('ДОУ БУ'!S243+'ДОУ АУ'!S243)</f>
        <v>4400</v>
      </c>
      <c r="T243" s="33">
        <f>SUM('ДОУ БУ'!T243+'ДОУ АУ'!T243)</f>
        <v>0</v>
      </c>
    </row>
    <row r="244" spans="1:20" s="6" customFormat="1" ht="16.5" x14ac:dyDescent="0.25">
      <c r="A244" s="63" t="s">
        <v>262</v>
      </c>
      <c r="B244" s="28" t="s">
        <v>51</v>
      </c>
      <c r="C244" s="51">
        <v>213</v>
      </c>
      <c r="D244" s="33">
        <f t="shared" si="52"/>
        <v>18200</v>
      </c>
      <c r="E244" s="33">
        <f t="shared" si="53"/>
        <v>0</v>
      </c>
      <c r="F244" s="33"/>
      <c r="G244" s="33">
        <f>SUM('ДОУ БУ'!G244+'ДОУ АУ'!G244)</f>
        <v>0</v>
      </c>
      <c r="H244" s="33"/>
      <c r="I244" s="33">
        <f>SUM('ДОУ БУ'!I244+'ДОУ АУ'!I244)</f>
        <v>0</v>
      </c>
      <c r="J244" s="33"/>
      <c r="K244" s="33">
        <f>SUM('ДОУ БУ'!K244+'ДОУ АУ'!K244)</f>
        <v>0</v>
      </c>
      <c r="L244" s="33"/>
      <c r="M244" s="33">
        <f>SUM('ДОУ БУ'!M244+'ДОУ АУ'!M244)</f>
        <v>0</v>
      </c>
      <c r="N244" s="33"/>
      <c r="O244" s="33">
        <f>SUM('ДОУ БУ'!O244+'ДОУ АУ'!O244)</f>
        <v>0</v>
      </c>
      <c r="P244" s="33"/>
      <c r="Q244" s="33"/>
      <c r="R244" s="33"/>
      <c r="S244" s="33">
        <f>SUM('ДОУ БУ'!S244+'ДОУ АУ'!S244)</f>
        <v>18200</v>
      </c>
      <c r="T244" s="33">
        <f>SUM('ДОУ БУ'!T244+'ДОУ АУ'!T244)</f>
        <v>0</v>
      </c>
    </row>
    <row r="245" spans="1:20" s="6" customFormat="1" ht="16.5" x14ac:dyDescent="0.25">
      <c r="A245" s="63" t="s">
        <v>263</v>
      </c>
      <c r="B245" s="28" t="s">
        <v>53</v>
      </c>
      <c r="C245" s="51">
        <v>221</v>
      </c>
      <c r="D245" s="33">
        <f t="shared" si="52"/>
        <v>1568950</v>
      </c>
      <c r="E245" s="33">
        <f t="shared" si="53"/>
        <v>376243.35000000003</v>
      </c>
      <c r="F245" s="33"/>
      <c r="G245" s="33">
        <f>SUM('ДОУ БУ'!G245+'ДОУ АУ'!G245)</f>
        <v>0</v>
      </c>
      <c r="H245" s="33"/>
      <c r="I245" s="33">
        <f>SUM('ДОУ БУ'!I245+'ДОУ АУ'!I245)</f>
        <v>0</v>
      </c>
      <c r="J245" s="33"/>
      <c r="K245" s="33">
        <f>SUM('ДОУ БУ'!K245+'ДОУ АУ'!K245)</f>
        <v>0</v>
      </c>
      <c r="L245" s="33"/>
      <c r="M245" s="33">
        <f>SUM('ДОУ БУ'!M245+'ДОУ АУ'!M245)</f>
        <v>0</v>
      </c>
      <c r="N245" s="33"/>
      <c r="O245" s="33">
        <f>SUM('ДОУ БУ'!O245+'ДОУ АУ'!O245)</f>
        <v>0</v>
      </c>
      <c r="P245" s="33"/>
      <c r="Q245" s="33"/>
      <c r="R245" s="33"/>
      <c r="S245" s="33">
        <f>SUM('ДОУ БУ'!S245+'ДОУ АУ'!S245)</f>
        <v>1568950</v>
      </c>
      <c r="T245" s="33">
        <f>SUM('ДОУ БУ'!T245+'ДОУ АУ'!T245)</f>
        <v>376243.35000000003</v>
      </c>
    </row>
    <row r="246" spans="1:20" s="6" customFormat="1" ht="16.5" x14ac:dyDescent="0.25">
      <c r="A246" s="63" t="s">
        <v>264</v>
      </c>
      <c r="B246" s="28" t="s">
        <v>55</v>
      </c>
      <c r="C246" s="51">
        <v>222</v>
      </c>
      <c r="D246" s="33">
        <f t="shared" si="52"/>
        <v>718000</v>
      </c>
      <c r="E246" s="33">
        <f t="shared" si="53"/>
        <v>193600</v>
      </c>
      <c r="F246" s="33"/>
      <c r="G246" s="33">
        <f>SUM('ДОУ БУ'!G246+'ДОУ АУ'!G246)</f>
        <v>0</v>
      </c>
      <c r="H246" s="33"/>
      <c r="I246" s="33">
        <f>SUM('ДОУ БУ'!I246+'ДОУ АУ'!I246)</f>
        <v>0</v>
      </c>
      <c r="J246" s="33"/>
      <c r="K246" s="33">
        <f>SUM('ДОУ БУ'!K246+'ДОУ АУ'!K246)</f>
        <v>0</v>
      </c>
      <c r="L246" s="33"/>
      <c r="M246" s="33">
        <f>SUM('ДОУ БУ'!M246+'ДОУ АУ'!M246)</f>
        <v>0</v>
      </c>
      <c r="N246" s="33"/>
      <c r="O246" s="33">
        <f>SUM('ДОУ БУ'!O246+'ДОУ АУ'!O246)</f>
        <v>0</v>
      </c>
      <c r="P246" s="33"/>
      <c r="Q246" s="33"/>
      <c r="R246" s="33"/>
      <c r="S246" s="33">
        <f>SUM('ДОУ БУ'!S246+'ДОУ АУ'!S246)</f>
        <v>718000</v>
      </c>
      <c r="T246" s="33">
        <f>SUM('ДОУ БУ'!T246+'ДОУ АУ'!T246)</f>
        <v>193600</v>
      </c>
    </row>
    <row r="247" spans="1:20" s="6" customFormat="1" ht="16.5" x14ac:dyDescent="0.25">
      <c r="A247" s="63" t="s">
        <v>265</v>
      </c>
      <c r="B247" s="28" t="s">
        <v>57</v>
      </c>
      <c r="C247" s="51">
        <v>223</v>
      </c>
      <c r="D247" s="33">
        <f t="shared" si="52"/>
        <v>0</v>
      </c>
      <c r="E247" s="33">
        <f t="shared" si="53"/>
        <v>0</v>
      </c>
      <c r="F247" s="33"/>
      <c r="G247" s="33">
        <f>SUM('ДОУ БУ'!G247+'ДОУ АУ'!G247)</f>
        <v>0</v>
      </c>
      <c r="H247" s="33"/>
      <c r="I247" s="33">
        <f>SUM('ДОУ БУ'!I247+'ДОУ АУ'!I247)</f>
        <v>0</v>
      </c>
      <c r="J247" s="33"/>
      <c r="K247" s="33">
        <f>SUM('ДОУ БУ'!K247+'ДОУ АУ'!K247)</f>
        <v>0</v>
      </c>
      <c r="L247" s="33"/>
      <c r="M247" s="33">
        <f>SUM('ДОУ БУ'!M247+'ДОУ АУ'!M247)</f>
        <v>0</v>
      </c>
      <c r="N247" s="33"/>
      <c r="O247" s="33">
        <f>SUM('ДОУ БУ'!O247+'ДОУ АУ'!O247)</f>
        <v>0</v>
      </c>
      <c r="P247" s="33"/>
      <c r="Q247" s="33"/>
      <c r="R247" s="33"/>
      <c r="S247" s="33">
        <f>SUM('ДОУ БУ'!S247+'ДОУ АУ'!S247)</f>
        <v>0</v>
      </c>
      <c r="T247" s="33">
        <f>SUM('ДОУ БУ'!T247+'ДОУ АУ'!T247)</f>
        <v>0</v>
      </c>
    </row>
    <row r="248" spans="1:20" s="6" customFormat="1" ht="16.5" hidden="1" x14ac:dyDescent="0.25">
      <c r="A248" s="63"/>
      <c r="B248" s="58" t="s">
        <v>213</v>
      </c>
      <c r="C248" s="51">
        <v>223</v>
      </c>
      <c r="D248" s="33">
        <f t="shared" si="52"/>
        <v>0</v>
      </c>
      <c r="E248" s="33">
        <f t="shared" si="53"/>
        <v>0</v>
      </c>
      <c r="F248" s="33"/>
      <c r="G248" s="33">
        <f>SUM('ДОУ БУ'!G248+'ДОУ АУ'!G248)</f>
        <v>0</v>
      </c>
      <c r="H248" s="33"/>
      <c r="I248" s="33">
        <f>SUM('ДОУ БУ'!I248+'ДОУ АУ'!I248)</f>
        <v>0</v>
      </c>
      <c r="J248" s="33"/>
      <c r="K248" s="33">
        <f>SUM('ДОУ БУ'!K248+'ДОУ АУ'!K248)</f>
        <v>0</v>
      </c>
      <c r="L248" s="33"/>
      <c r="M248" s="33">
        <f>SUM('ДОУ БУ'!M248+'ДОУ АУ'!M248)</f>
        <v>0</v>
      </c>
      <c r="N248" s="33"/>
      <c r="O248" s="33">
        <f>SUM('ДОУ БУ'!O248+'ДОУ АУ'!O248)</f>
        <v>0</v>
      </c>
      <c r="P248" s="33"/>
      <c r="Q248" s="33"/>
      <c r="R248" s="33"/>
      <c r="S248" s="33">
        <f>SUM('ДОУ БУ'!S248+'ДОУ АУ'!S248)</f>
        <v>0</v>
      </c>
      <c r="T248" s="33">
        <f>SUM('ДОУ БУ'!T248+'ДОУ АУ'!T248)</f>
        <v>0</v>
      </c>
    </row>
    <row r="249" spans="1:20" s="6" customFormat="1" ht="16.5" hidden="1" x14ac:dyDescent="0.25">
      <c r="A249" s="63"/>
      <c r="B249" s="58" t="s">
        <v>214</v>
      </c>
      <c r="C249" s="51">
        <v>223</v>
      </c>
      <c r="D249" s="33">
        <f t="shared" si="52"/>
        <v>0</v>
      </c>
      <c r="E249" s="33">
        <f t="shared" si="53"/>
        <v>0</v>
      </c>
      <c r="F249" s="33"/>
      <c r="G249" s="33">
        <f>SUM('ДОУ БУ'!G249+'ДОУ АУ'!G249)</f>
        <v>0</v>
      </c>
      <c r="H249" s="33"/>
      <c r="I249" s="33">
        <f>SUM('ДОУ БУ'!I249+'ДОУ АУ'!I249)</f>
        <v>0</v>
      </c>
      <c r="J249" s="33"/>
      <c r="K249" s="33">
        <f>SUM('ДОУ БУ'!K249+'ДОУ АУ'!K249)</f>
        <v>0</v>
      </c>
      <c r="L249" s="33"/>
      <c r="M249" s="33">
        <f>SUM('ДОУ БУ'!M249+'ДОУ АУ'!M249)</f>
        <v>0</v>
      </c>
      <c r="N249" s="33"/>
      <c r="O249" s="33">
        <f>SUM('ДОУ БУ'!O249+'ДОУ АУ'!O249)</f>
        <v>0</v>
      </c>
      <c r="P249" s="33"/>
      <c r="Q249" s="33"/>
      <c r="R249" s="33"/>
      <c r="S249" s="33">
        <f>SUM('ДОУ БУ'!S249+'ДОУ АУ'!S249)</f>
        <v>0</v>
      </c>
      <c r="T249" s="33">
        <f>SUM('ДОУ БУ'!T249+'ДОУ АУ'!T249)</f>
        <v>0</v>
      </c>
    </row>
    <row r="250" spans="1:20" s="6" customFormat="1" ht="16.5" hidden="1" x14ac:dyDescent="0.25">
      <c r="A250" s="63"/>
      <c r="B250" s="58" t="s">
        <v>215</v>
      </c>
      <c r="C250" s="51">
        <v>223</v>
      </c>
      <c r="D250" s="33">
        <f t="shared" si="52"/>
        <v>0</v>
      </c>
      <c r="E250" s="33">
        <f t="shared" si="53"/>
        <v>0</v>
      </c>
      <c r="F250" s="33"/>
      <c r="G250" s="33">
        <f>SUM('ДОУ БУ'!G250+'ДОУ АУ'!G250)</f>
        <v>0</v>
      </c>
      <c r="H250" s="33"/>
      <c r="I250" s="33">
        <f>SUM('ДОУ БУ'!I250+'ДОУ АУ'!I250)</f>
        <v>0</v>
      </c>
      <c r="J250" s="33"/>
      <c r="K250" s="33">
        <f>SUM('ДОУ БУ'!K250+'ДОУ АУ'!K250)</f>
        <v>0</v>
      </c>
      <c r="L250" s="33"/>
      <c r="M250" s="33">
        <f>SUM('ДОУ БУ'!M250+'ДОУ АУ'!M250)</f>
        <v>0</v>
      </c>
      <c r="N250" s="33"/>
      <c r="O250" s="33">
        <f>SUM('ДОУ БУ'!O250+'ДОУ АУ'!O250)</f>
        <v>0</v>
      </c>
      <c r="P250" s="33"/>
      <c r="Q250" s="33"/>
      <c r="R250" s="33"/>
      <c r="S250" s="33">
        <f>SUM('ДОУ БУ'!S250+'ДОУ АУ'!S250)</f>
        <v>0</v>
      </c>
      <c r="T250" s="33">
        <f>SUM('ДОУ БУ'!T250+'ДОУ АУ'!T250)</f>
        <v>0</v>
      </c>
    </row>
    <row r="251" spans="1:20" s="6" customFormat="1" ht="16.5" x14ac:dyDescent="0.25">
      <c r="A251" s="63" t="s">
        <v>266</v>
      </c>
      <c r="B251" s="58" t="s">
        <v>217</v>
      </c>
      <c r="C251" s="51">
        <v>224</v>
      </c>
      <c r="D251" s="33">
        <f t="shared" si="52"/>
        <v>0</v>
      </c>
      <c r="E251" s="33">
        <f t="shared" si="53"/>
        <v>0</v>
      </c>
      <c r="F251" s="33"/>
      <c r="G251" s="33">
        <f>SUM('ДОУ БУ'!G251+'ДОУ АУ'!G251)</f>
        <v>0</v>
      </c>
      <c r="H251" s="33"/>
      <c r="I251" s="33">
        <f>SUM('ДОУ БУ'!I251+'ДОУ АУ'!I251)</f>
        <v>0</v>
      </c>
      <c r="J251" s="33"/>
      <c r="K251" s="33">
        <f>SUM('ДОУ БУ'!K251+'ДОУ АУ'!K251)</f>
        <v>0</v>
      </c>
      <c r="L251" s="33"/>
      <c r="M251" s="33">
        <f>SUM('ДОУ БУ'!M251+'ДОУ АУ'!M251)</f>
        <v>0</v>
      </c>
      <c r="N251" s="33"/>
      <c r="O251" s="33">
        <f>SUM('ДОУ БУ'!O251+'ДОУ АУ'!O251)</f>
        <v>0</v>
      </c>
      <c r="P251" s="33"/>
      <c r="Q251" s="33"/>
      <c r="R251" s="33"/>
      <c r="S251" s="33">
        <f>SUM('ДОУ БУ'!S251+'ДОУ АУ'!S251)</f>
        <v>0</v>
      </c>
      <c r="T251" s="33">
        <f>SUM('ДОУ БУ'!T251+'ДОУ АУ'!T251)</f>
        <v>0</v>
      </c>
    </row>
    <row r="252" spans="1:20" s="6" customFormat="1" ht="16.5" x14ac:dyDescent="0.25">
      <c r="A252" s="63" t="s">
        <v>267</v>
      </c>
      <c r="B252" s="58" t="s">
        <v>219</v>
      </c>
      <c r="C252" s="51">
        <v>225</v>
      </c>
      <c r="D252" s="33">
        <f t="shared" si="52"/>
        <v>0</v>
      </c>
      <c r="E252" s="33">
        <f t="shared" si="53"/>
        <v>0</v>
      </c>
      <c r="F252" s="33"/>
      <c r="G252" s="33">
        <f>SUM('ДОУ БУ'!G252+'ДОУ АУ'!G252)</f>
        <v>0</v>
      </c>
      <c r="H252" s="33"/>
      <c r="I252" s="33">
        <f>SUM('ДОУ БУ'!I252+'ДОУ АУ'!I252)</f>
        <v>0</v>
      </c>
      <c r="J252" s="33"/>
      <c r="K252" s="33">
        <f>SUM('ДОУ БУ'!K252+'ДОУ АУ'!K252)</f>
        <v>0</v>
      </c>
      <c r="L252" s="33"/>
      <c r="M252" s="33">
        <f>SUM('ДОУ БУ'!M252+'ДОУ АУ'!M252)</f>
        <v>0</v>
      </c>
      <c r="N252" s="33"/>
      <c r="O252" s="33">
        <f>SUM('ДОУ БУ'!O252+'ДОУ АУ'!O252)</f>
        <v>0</v>
      </c>
      <c r="P252" s="33"/>
      <c r="Q252" s="33"/>
      <c r="R252" s="33"/>
      <c r="S252" s="33">
        <f>SUM('ДОУ БУ'!S252+'ДОУ АУ'!S252)</f>
        <v>0</v>
      </c>
      <c r="T252" s="33">
        <f>SUM('ДОУ БУ'!T252+'ДОУ АУ'!T252)</f>
        <v>0</v>
      </c>
    </row>
    <row r="253" spans="1:20" s="6" customFormat="1" ht="16.5" x14ac:dyDescent="0.25">
      <c r="A253" s="63" t="s">
        <v>268</v>
      </c>
      <c r="B253" s="28" t="s">
        <v>64</v>
      </c>
      <c r="C253" s="51">
        <v>225</v>
      </c>
      <c r="D253" s="33">
        <f t="shared" si="52"/>
        <v>9633700</v>
      </c>
      <c r="E253" s="33">
        <f t="shared" si="53"/>
        <v>2675256.2000000002</v>
      </c>
      <c r="F253" s="33"/>
      <c r="G253" s="33">
        <f>SUM('ДОУ БУ'!G253+'ДОУ АУ'!G253)</f>
        <v>0</v>
      </c>
      <c r="H253" s="33"/>
      <c r="I253" s="33">
        <f>SUM('ДОУ БУ'!I253+'ДОУ АУ'!I253)</f>
        <v>0</v>
      </c>
      <c r="J253" s="33"/>
      <c r="K253" s="33">
        <f>SUM('ДОУ БУ'!K253+'ДОУ АУ'!K253)</f>
        <v>0</v>
      </c>
      <c r="L253" s="33"/>
      <c r="M253" s="33">
        <f>SUM('ДОУ БУ'!M253+'ДОУ АУ'!M253)</f>
        <v>0</v>
      </c>
      <c r="N253" s="33"/>
      <c r="O253" s="33">
        <f>SUM('ДОУ БУ'!O253+'ДОУ АУ'!O253)</f>
        <v>0</v>
      </c>
      <c r="P253" s="33"/>
      <c r="Q253" s="33"/>
      <c r="R253" s="33"/>
      <c r="S253" s="33">
        <f>SUM('ДОУ БУ'!S253+'ДОУ АУ'!S253)</f>
        <v>9633700</v>
      </c>
      <c r="T253" s="33">
        <f>SUM('ДОУ БУ'!T253+'ДОУ АУ'!T253)</f>
        <v>2675256.2000000002</v>
      </c>
    </row>
    <row r="254" spans="1:20" s="6" customFormat="1" ht="16.5" x14ac:dyDescent="0.25">
      <c r="A254" s="63" t="s">
        <v>269</v>
      </c>
      <c r="B254" s="28" t="s">
        <v>66</v>
      </c>
      <c r="C254" s="51">
        <v>226</v>
      </c>
      <c r="D254" s="33">
        <f t="shared" si="52"/>
        <v>12773100</v>
      </c>
      <c r="E254" s="33">
        <f t="shared" si="53"/>
        <v>3538098.4200000004</v>
      </c>
      <c r="F254" s="33"/>
      <c r="G254" s="33">
        <f>SUM('ДОУ БУ'!G254+'ДОУ АУ'!G254)</f>
        <v>0</v>
      </c>
      <c r="H254" s="33"/>
      <c r="I254" s="33">
        <f>SUM('ДОУ БУ'!I254+'ДОУ АУ'!I254)</f>
        <v>0</v>
      </c>
      <c r="J254" s="33"/>
      <c r="K254" s="33">
        <f>SUM('ДОУ БУ'!K254+'ДОУ АУ'!K254)</f>
        <v>0</v>
      </c>
      <c r="L254" s="33"/>
      <c r="M254" s="33">
        <f>SUM('ДОУ БУ'!M254+'ДОУ АУ'!M254)</f>
        <v>0</v>
      </c>
      <c r="N254" s="33"/>
      <c r="O254" s="33">
        <f>SUM('ДОУ БУ'!O254+'ДОУ АУ'!O254)</f>
        <v>0</v>
      </c>
      <c r="P254" s="33"/>
      <c r="Q254" s="33"/>
      <c r="R254" s="33"/>
      <c r="S254" s="33">
        <f>SUM('ДОУ БУ'!S254+'ДОУ АУ'!S254)</f>
        <v>12773100</v>
      </c>
      <c r="T254" s="33">
        <f>SUM('ДОУ БУ'!T254+'ДОУ АУ'!T254)</f>
        <v>3538098.4200000004</v>
      </c>
    </row>
    <row r="255" spans="1:20" s="6" customFormat="1" ht="16.5" x14ac:dyDescent="0.25">
      <c r="A255" s="63" t="s">
        <v>270</v>
      </c>
      <c r="B255" s="58" t="s">
        <v>225</v>
      </c>
      <c r="C255" s="51">
        <v>226</v>
      </c>
      <c r="D255" s="33">
        <f t="shared" si="52"/>
        <v>0</v>
      </c>
      <c r="E255" s="33">
        <f t="shared" si="53"/>
        <v>0</v>
      </c>
      <c r="F255" s="33"/>
      <c r="G255" s="33">
        <f>SUM('ДОУ БУ'!G255+'ДОУ АУ'!G255)</f>
        <v>0</v>
      </c>
      <c r="H255" s="33"/>
      <c r="I255" s="33">
        <f>SUM('ДОУ БУ'!I255+'ДОУ АУ'!I255)</f>
        <v>0</v>
      </c>
      <c r="J255" s="33"/>
      <c r="K255" s="33">
        <f>SUM('ДОУ БУ'!K255+'ДОУ АУ'!K255)</f>
        <v>0</v>
      </c>
      <c r="L255" s="33"/>
      <c r="M255" s="33">
        <f>SUM('ДОУ БУ'!M255+'ДОУ АУ'!M255)</f>
        <v>0</v>
      </c>
      <c r="N255" s="33"/>
      <c r="O255" s="33">
        <f>SUM('ДОУ БУ'!O255+'ДОУ АУ'!O255)</f>
        <v>0</v>
      </c>
      <c r="P255" s="33"/>
      <c r="Q255" s="33"/>
      <c r="R255" s="33"/>
      <c r="S255" s="33">
        <f>SUM('ДОУ БУ'!S255+'ДОУ АУ'!S255)</f>
        <v>0</v>
      </c>
      <c r="T255" s="33">
        <f>SUM('ДОУ БУ'!T255+'ДОУ АУ'!T255)</f>
        <v>0</v>
      </c>
    </row>
    <row r="256" spans="1:20" s="6" customFormat="1" ht="16.5" x14ac:dyDescent="0.25">
      <c r="A256" s="63" t="s">
        <v>271</v>
      </c>
      <c r="B256" s="28" t="s">
        <v>68</v>
      </c>
      <c r="C256" s="51">
        <v>290</v>
      </c>
      <c r="D256" s="33">
        <f t="shared" si="52"/>
        <v>414800</v>
      </c>
      <c r="E256" s="33">
        <f t="shared" si="53"/>
        <v>87481.65</v>
      </c>
      <c r="F256" s="33"/>
      <c r="G256" s="33">
        <f>SUM('ДОУ БУ'!G256+'ДОУ АУ'!G256)</f>
        <v>0</v>
      </c>
      <c r="H256" s="33"/>
      <c r="I256" s="33">
        <f>SUM('ДОУ БУ'!I256+'ДОУ АУ'!I256)</f>
        <v>0</v>
      </c>
      <c r="J256" s="33"/>
      <c r="K256" s="33">
        <f>SUM('ДОУ БУ'!K256+'ДОУ АУ'!K256)</f>
        <v>0</v>
      </c>
      <c r="L256" s="33"/>
      <c r="M256" s="33">
        <f>SUM('ДОУ БУ'!M256+'ДОУ АУ'!M256)</f>
        <v>0</v>
      </c>
      <c r="N256" s="33"/>
      <c r="O256" s="33">
        <f>SUM('ДОУ БУ'!O256+'ДОУ АУ'!O256)</f>
        <v>0</v>
      </c>
      <c r="P256" s="33"/>
      <c r="Q256" s="33"/>
      <c r="R256" s="33"/>
      <c r="S256" s="33">
        <f>SUM('ДОУ БУ'!S256+'ДОУ АУ'!S256)</f>
        <v>414800</v>
      </c>
      <c r="T256" s="33">
        <f>SUM('ДОУ БУ'!T256+'ДОУ АУ'!T256)</f>
        <v>87481.65</v>
      </c>
    </row>
    <row r="257" spans="1:20" s="6" customFormat="1" ht="16.5" x14ac:dyDescent="0.25">
      <c r="A257" s="63" t="s">
        <v>272</v>
      </c>
      <c r="B257" s="58" t="s">
        <v>72</v>
      </c>
      <c r="C257" s="51">
        <v>310</v>
      </c>
      <c r="D257" s="33">
        <f t="shared" si="52"/>
        <v>9818902.8599999994</v>
      </c>
      <c r="E257" s="33">
        <f t="shared" si="53"/>
        <v>1573580.39</v>
      </c>
      <c r="F257" s="33"/>
      <c r="G257" s="33">
        <f>SUM('ДОУ БУ'!G257+'ДОУ АУ'!G257)</f>
        <v>0</v>
      </c>
      <c r="H257" s="33"/>
      <c r="I257" s="33">
        <f>SUM('ДОУ БУ'!I257+'ДОУ АУ'!I257)</f>
        <v>0</v>
      </c>
      <c r="J257" s="33"/>
      <c r="K257" s="33">
        <f>SUM('ДОУ БУ'!K257+'ДОУ АУ'!K257)</f>
        <v>0</v>
      </c>
      <c r="L257" s="33"/>
      <c r="M257" s="33">
        <f>SUM('ДОУ БУ'!M257+'ДОУ АУ'!M257)</f>
        <v>0</v>
      </c>
      <c r="N257" s="33"/>
      <c r="O257" s="33">
        <f>SUM('ДОУ БУ'!O257+'ДОУ АУ'!O257)</f>
        <v>0</v>
      </c>
      <c r="P257" s="33"/>
      <c r="Q257" s="33"/>
      <c r="R257" s="33"/>
      <c r="S257" s="33">
        <f>SUM('ДОУ БУ'!S257+'ДОУ АУ'!S257)</f>
        <v>9818902.8599999994</v>
      </c>
      <c r="T257" s="33">
        <f>SUM('ДОУ БУ'!T257+'ДОУ АУ'!T257)</f>
        <v>1573580.39</v>
      </c>
    </row>
    <row r="258" spans="1:20" s="6" customFormat="1" ht="16.5" x14ac:dyDescent="0.25">
      <c r="A258" s="63" t="s">
        <v>273</v>
      </c>
      <c r="B258" s="58" t="s">
        <v>243</v>
      </c>
      <c r="C258" s="51">
        <v>340</v>
      </c>
      <c r="D258" s="33">
        <f t="shared" si="52"/>
        <v>20488820.41</v>
      </c>
      <c r="E258" s="33">
        <f t="shared" si="53"/>
        <v>5399342.4800000004</v>
      </c>
      <c r="F258" s="33"/>
      <c r="G258" s="33">
        <f>SUM('ДОУ БУ'!G258+'ДОУ АУ'!G258)</f>
        <v>0</v>
      </c>
      <c r="H258" s="33"/>
      <c r="I258" s="33">
        <f>SUM('ДОУ БУ'!I258+'ДОУ АУ'!I258)</f>
        <v>0</v>
      </c>
      <c r="J258" s="33"/>
      <c r="K258" s="33">
        <f>SUM('ДОУ БУ'!K258+'ДОУ АУ'!K258)</f>
        <v>0</v>
      </c>
      <c r="L258" s="33"/>
      <c r="M258" s="33">
        <f>SUM('ДОУ БУ'!M258+'ДОУ АУ'!M258)</f>
        <v>0</v>
      </c>
      <c r="N258" s="33"/>
      <c r="O258" s="33">
        <f>SUM('ДОУ БУ'!O258+'ДОУ АУ'!O258)</f>
        <v>0</v>
      </c>
      <c r="P258" s="33"/>
      <c r="Q258" s="33"/>
      <c r="R258" s="33"/>
      <c r="S258" s="33">
        <f>SUM('ДОУ БУ'!S258+'ДОУ АУ'!S258)</f>
        <v>20488820.41</v>
      </c>
      <c r="T258" s="33">
        <f>SUM('ДОУ БУ'!T258+'ДОУ АУ'!T258)</f>
        <v>5399342.4800000004</v>
      </c>
    </row>
    <row r="259" spans="1:20" s="18" customFormat="1" ht="20.25" customHeight="1" x14ac:dyDescent="0.25">
      <c r="A259" s="168" t="s">
        <v>304</v>
      </c>
      <c r="B259" s="168"/>
      <c r="C259" s="49"/>
      <c r="D259" s="34">
        <f t="shared" ref="D259:T259" si="58">SUM(D15+D31-D47)</f>
        <v>4.76837158203125E-7</v>
      </c>
      <c r="E259" s="34">
        <f t="shared" si="58"/>
        <v>97097033.659999847</v>
      </c>
      <c r="F259" s="34"/>
      <c r="G259" s="34">
        <f t="shared" si="58"/>
        <v>0</v>
      </c>
      <c r="H259" s="34">
        <f t="shared" si="58"/>
        <v>35178046.529999971</v>
      </c>
      <c r="I259" s="34">
        <f t="shared" si="58"/>
        <v>0</v>
      </c>
      <c r="J259" s="34">
        <f t="shared" si="58"/>
        <v>0</v>
      </c>
      <c r="K259" s="34">
        <f t="shared" si="58"/>
        <v>0</v>
      </c>
      <c r="L259" s="34">
        <f t="shared" si="58"/>
        <v>851700.39999997616</v>
      </c>
      <c r="M259" s="34">
        <f t="shared" si="58"/>
        <v>0</v>
      </c>
      <c r="N259" s="34">
        <f t="shared" si="58"/>
        <v>587.67999999993481</v>
      </c>
      <c r="O259" s="34">
        <f t="shared" si="58"/>
        <v>0</v>
      </c>
      <c r="P259" s="34">
        <f t="shared" si="58"/>
        <v>0</v>
      </c>
      <c r="Q259" s="34">
        <f t="shared" si="58"/>
        <v>0</v>
      </c>
      <c r="R259" s="34">
        <f t="shared" si="58"/>
        <v>0</v>
      </c>
      <c r="S259" s="34">
        <f t="shared" si="58"/>
        <v>0</v>
      </c>
      <c r="T259" s="34">
        <f t="shared" si="58"/>
        <v>61066699.050000012</v>
      </c>
    </row>
    <row r="260" spans="1:20" s="18" customFormat="1" ht="34.5" x14ac:dyDescent="0.25">
      <c r="A260" s="47" t="s">
        <v>17</v>
      </c>
      <c r="B260" s="48" t="s">
        <v>18</v>
      </c>
      <c r="C260" s="49"/>
      <c r="D260" s="34">
        <f t="shared" ref="D260:E260" si="59">SUM(D261:D263)</f>
        <v>0</v>
      </c>
      <c r="E260" s="34">
        <f t="shared" si="59"/>
        <v>26369944.479999956</v>
      </c>
      <c r="F260" s="34"/>
      <c r="G260" s="34">
        <f>SUM(G261:G263)</f>
        <v>0</v>
      </c>
      <c r="H260" s="34">
        <f t="shared" ref="H260:T260" si="60">SUM(H261:H263)</f>
        <v>25517656.399999972</v>
      </c>
      <c r="I260" s="34">
        <f t="shared" si="60"/>
        <v>0</v>
      </c>
      <c r="J260" s="34">
        <f t="shared" si="60"/>
        <v>0</v>
      </c>
      <c r="K260" s="34">
        <f t="shared" si="60"/>
        <v>0</v>
      </c>
      <c r="L260" s="34">
        <f t="shared" si="60"/>
        <v>851700.39999997616</v>
      </c>
      <c r="M260" s="34">
        <f t="shared" si="60"/>
        <v>0</v>
      </c>
      <c r="N260" s="34">
        <f t="shared" si="60"/>
        <v>587.67999999993481</v>
      </c>
      <c r="O260" s="34">
        <f t="shared" si="60"/>
        <v>0</v>
      </c>
      <c r="P260" s="34">
        <f t="shared" si="60"/>
        <v>0</v>
      </c>
      <c r="Q260" s="34">
        <f t="shared" si="60"/>
        <v>0</v>
      </c>
      <c r="R260" s="34">
        <f t="shared" si="60"/>
        <v>0</v>
      </c>
      <c r="S260" s="34">
        <f t="shared" si="60"/>
        <v>0</v>
      </c>
      <c r="T260" s="34">
        <f t="shared" si="60"/>
        <v>0</v>
      </c>
    </row>
    <row r="261" spans="1:20" s="6" customFormat="1" ht="16.5" x14ac:dyDescent="0.25">
      <c r="A261" s="50" t="s">
        <v>19</v>
      </c>
      <c r="B261" s="28" t="s">
        <v>274</v>
      </c>
      <c r="C261" s="51"/>
      <c r="D261" s="33">
        <f t="shared" ref="D261:E261" si="61">D17+D33-D49</f>
        <v>0</v>
      </c>
      <c r="E261" s="33">
        <f t="shared" si="61"/>
        <v>2258590.6699999571</v>
      </c>
      <c r="F261" s="33"/>
      <c r="G261" s="33">
        <f>G17+G33-G49</f>
        <v>0</v>
      </c>
      <c r="H261" s="33">
        <f t="shared" ref="H261:T261" si="62">H17+H33-H49</f>
        <v>1406302.5899999738</v>
      </c>
      <c r="I261" s="33">
        <f t="shared" si="62"/>
        <v>0</v>
      </c>
      <c r="J261" s="33">
        <f t="shared" si="62"/>
        <v>0</v>
      </c>
      <c r="K261" s="33">
        <f t="shared" si="62"/>
        <v>0</v>
      </c>
      <c r="L261" s="33">
        <f t="shared" si="62"/>
        <v>851700.39999997616</v>
      </c>
      <c r="M261" s="33">
        <f t="shared" si="62"/>
        <v>0</v>
      </c>
      <c r="N261" s="33">
        <f t="shared" si="62"/>
        <v>587.67999999993481</v>
      </c>
      <c r="O261" s="33">
        <f t="shared" si="62"/>
        <v>0</v>
      </c>
      <c r="P261" s="33">
        <f t="shared" si="62"/>
        <v>0</v>
      </c>
      <c r="Q261" s="33">
        <f t="shared" si="62"/>
        <v>0</v>
      </c>
      <c r="R261" s="33">
        <f t="shared" si="62"/>
        <v>0</v>
      </c>
      <c r="S261" s="33">
        <f t="shared" si="62"/>
        <v>0</v>
      </c>
      <c r="T261" s="33">
        <f t="shared" si="62"/>
        <v>0</v>
      </c>
    </row>
    <row r="262" spans="1:20" s="6" customFormat="1" ht="16.5" x14ac:dyDescent="0.25">
      <c r="A262" s="50" t="s">
        <v>21</v>
      </c>
      <c r="B262" s="28" t="s">
        <v>22</v>
      </c>
      <c r="C262" s="51"/>
      <c r="D262" s="33">
        <f t="shared" ref="D262:E262" si="63">D19+D34-D78</f>
        <v>0</v>
      </c>
      <c r="E262" s="33">
        <f t="shared" si="63"/>
        <v>24111353.809999999</v>
      </c>
      <c r="F262" s="33"/>
      <c r="G262" s="33">
        <f>G19+G34-G78</f>
        <v>0</v>
      </c>
      <c r="H262" s="33">
        <f t="shared" ref="H262:T262" si="64">H19+H34-H78</f>
        <v>24111353.809999999</v>
      </c>
      <c r="I262" s="33">
        <f t="shared" si="64"/>
        <v>0</v>
      </c>
      <c r="J262" s="33">
        <f t="shared" si="64"/>
        <v>0</v>
      </c>
      <c r="K262" s="33">
        <f t="shared" si="64"/>
        <v>0</v>
      </c>
      <c r="L262" s="33">
        <f t="shared" si="64"/>
        <v>0</v>
      </c>
      <c r="M262" s="33">
        <f t="shared" si="64"/>
        <v>0</v>
      </c>
      <c r="N262" s="33">
        <f t="shared" si="64"/>
        <v>0</v>
      </c>
      <c r="O262" s="33">
        <f t="shared" si="64"/>
        <v>0</v>
      </c>
      <c r="P262" s="33">
        <f t="shared" si="64"/>
        <v>0</v>
      </c>
      <c r="Q262" s="33">
        <f t="shared" si="64"/>
        <v>0</v>
      </c>
      <c r="R262" s="33">
        <f t="shared" si="64"/>
        <v>0</v>
      </c>
      <c r="S262" s="33">
        <f t="shared" si="64"/>
        <v>0</v>
      </c>
      <c r="T262" s="33">
        <f t="shared" si="64"/>
        <v>0</v>
      </c>
    </row>
    <row r="263" spans="1:20" s="6" customFormat="1" ht="16.5" x14ac:dyDescent="0.25">
      <c r="A263" s="52"/>
      <c r="B263" s="28"/>
      <c r="C263" s="51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</row>
    <row r="264" spans="1:20" s="18" customFormat="1" ht="17.25" x14ac:dyDescent="0.25">
      <c r="A264" s="53" t="s">
        <v>25</v>
      </c>
      <c r="B264" s="48" t="s">
        <v>26</v>
      </c>
      <c r="C264" s="49"/>
      <c r="D264" s="34">
        <f t="shared" ref="D264:T265" si="65">D20+D36-D84</f>
        <v>0</v>
      </c>
      <c r="E264" s="34">
        <f t="shared" si="65"/>
        <v>9660390.1300000027</v>
      </c>
      <c r="F264" s="34"/>
      <c r="G264" s="34">
        <f t="shared" si="65"/>
        <v>0</v>
      </c>
      <c r="H264" s="34">
        <f t="shared" si="65"/>
        <v>9660390.1300000027</v>
      </c>
      <c r="I264" s="34">
        <f t="shared" si="65"/>
        <v>0</v>
      </c>
      <c r="J264" s="34">
        <f t="shared" si="65"/>
        <v>0</v>
      </c>
      <c r="K264" s="34">
        <f t="shared" si="65"/>
        <v>0</v>
      </c>
      <c r="L264" s="34">
        <f t="shared" si="65"/>
        <v>0</v>
      </c>
      <c r="M264" s="34">
        <f t="shared" si="65"/>
        <v>0</v>
      </c>
      <c r="N264" s="34">
        <f t="shared" si="65"/>
        <v>0</v>
      </c>
      <c r="O264" s="34">
        <f t="shared" si="65"/>
        <v>0</v>
      </c>
      <c r="P264" s="34">
        <f t="shared" si="65"/>
        <v>0</v>
      </c>
      <c r="Q264" s="34">
        <f t="shared" si="65"/>
        <v>0</v>
      </c>
      <c r="R264" s="34">
        <f t="shared" si="65"/>
        <v>0</v>
      </c>
      <c r="S264" s="34">
        <f t="shared" si="65"/>
        <v>0</v>
      </c>
      <c r="T264" s="34">
        <f t="shared" si="65"/>
        <v>0</v>
      </c>
    </row>
    <row r="265" spans="1:20" s="6" customFormat="1" ht="49.5" x14ac:dyDescent="0.25">
      <c r="A265" s="73" t="s">
        <v>27</v>
      </c>
      <c r="B265" s="58" t="s">
        <v>83</v>
      </c>
      <c r="C265" s="51"/>
      <c r="D265" s="33">
        <f t="shared" si="65"/>
        <v>0</v>
      </c>
      <c r="E265" s="33">
        <f t="shared" si="65"/>
        <v>9660390.129999999</v>
      </c>
      <c r="F265" s="33"/>
      <c r="G265" s="33">
        <f t="shared" si="65"/>
        <v>0</v>
      </c>
      <c r="H265" s="33">
        <f t="shared" si="65"/>
        <v>9660390.129999999</v>
      </c>
      <c r="I265" s="33">
        <f t="shared" si="65"/>
        <v>0</v>
      </c>
      <c r="J265" s="33">
        <f t="shared" si="65"/>
        <v>0</v>
      </c>
      <c r="K265" s="33">
        <f t="shared" si="65"/>
        <v>0</v>
      </c>
      <c r="L265" s="33">
        <f t="shared" si="65"/>
        <v>0</v>
      </c>
      <c r="M265" s="33">
        <f t="shared" si="65"/>
        <v>0</v>
      </c>
      <c r="N265" s="33">
        <f t="shared" si="65"/>
        <v>0</v>
      </c>
      <c r="O265" s="33">
        <f t="shared" si="65"/>
        <v>0</v>
      </c>
      <c r="P265" s="33">
        <f t="shared" si="65"/>
        <v>0</v>
      </c>
      <c r="Q265" s="33">
        <f t="shared" si="65"/>
        <v>0</v>
      </c>
      <c r="R265" s="33">
        <f t="shared" si="65"/>
        <v>0</v>
      </c>
      <c r="S265" s="33">
        <f t="shared" si="65"/>
        <v>0</v>
      </c>
      <c r="T265" s="33">
        <f t="shared" si="65"/>
        <v>0</v>
      </c>
    </row>
    <row r="266" spans="1:20" s="6" customFormat="1" ht="33" x14ac:dyDescent="0.25">
      <c r="A266" s="73" t="s">
        <v>29</v>
      </c>
      <c r="B266" s="58" t="s">
        <v>44</v>
      </c>
      <c r="C266" s="51"/>
      <c r="D266" s="33">
        <f t="shared" ref="D266:T266" si="66">D22+D38-D165</f>
        <v>0</v>
      </c>
      <c r="E266" s="33">
        <f t="shared" si="66"/>
        <v>0</v>
      </c>
      <c r="F266" s="33"/>
      <c r="G266" s="33">
        <f t="shared" si="66"/>
        <v>0</v>
      </c>
      <c r="H266" s="33">
        <f t="shared" si="66"/>
        <v>0</v>
      </c>
      <c r="I266" s="33">
        <f t="shared" si="66"/>
        <v>0</v>
      </c>
      <c r="J266" s="33">
        <f t="shared" si="66"/>
        <v>0</v>
      </c>
      <c r="K266" s="33">
        <f t="shared" si="66"/>
        <v>0</v>
      </c>
      <c r="L266" s="33">
        <f t="shared" si="66"/>
        <v>0</v>
      </c>
      <c r="M266" s="33">
        <f t="shared" si="66"/>
        <v>0</v>
      </c>
      <c r="N266" s="33">
        <f t="shared" si="66"/>
        <v>0</v>
      </c>
      <c r="O266" s="33">
        <f t="shared" si="66"/>
        <v>0</v>
      </c>
      <c r="P266" s="33">
        <f t="shared" si="66"/>
        <v>0</v>
      </c>
      <c r="Q266" s="33">
        <f t="shared" si="66"/>
        <v>0</v>
      </c>
      <c r="R266" s="33">
        <f t="shared" si="66"/>
        <v>0</v>
      </c>
      <c r="S266" s="33">
        <f t="shared" si="66"/>
        <v>0</v>
      </c>
      <c r="T266" s="33">
        <f t="shared" si="66"/>
        <v>0</v>
      </c>
    </row>
    <row r="267" spans="1:20" s="6" customFormat="1" ht="66" x14ac:dyDescent="0.25">
      <c r="A267" s="73" t="s">
        <v>31</v>
      </c>
      <c r="B267" s="28" t="s">
        <v>189</v>
      </c>
      <c r="C267" s="51"/>
      <c r="D267" s="33">
        <f t="shared" ref="D267:T267" si="67">D23+D39-D168</f>
        <v>0</v>
      </c>
      <c r="E267" s="33">
        <f t="shared" si="67"/>
        <v>0</v>
      </c>
      <c r="F267" s="33"/>
      <c r="G267" s="33">
        <f t="shared" si="67"/>
        <v>0</v>
      </c>
      <c r="H267" s="33">
        <f t="shared" si="67"/>
        <v>0</v>
      </c>
      <c r="I267" s="33">
        <f t="shared" si="67"/>
        <v>0</v>
      </c>
      <c r="J267" s="33">
        <f t="shared" si="67"/>
        <v>0</v>
      </c>
      <c r="K267" s="33">
        <f t="shared" si="67"/>
        <v>0</v>
      </c>
      <c r="L267" s="33">
        <f t="shared" si="67"/>
        <v>0</v>
      </c>
      <c r="M267" s="33">
        <f t="shared" si="67"/>
        <v>0</v>
      </c>
      <c r="N267" s="33">
        <f t="shared" si="67"/>
        <v>0</v>
      </c>
      <c r="O267" s="33">
        <f t="shared" si="67"/>
        <v>0</v>
      </c>
      <c r="P267" s="33">
        <f t="shared" si="67"/>
        <v>0</v>
      </c>
      <c r="Q267" s="33">
        <f t="shared" si="67"/>
        <v>0</v>
      </c>
      <c r="R267" s="33">
        <f t="shared" si="67"/>
        <v>0</v>
      </c>
      <c r="S267" s="33">
        <f t="shared" si="67"/>
        <v>0</v>
      </c>
      <c r="T267" s="33">
        <f t="shared" si="67"/>
        <v>0</v>
      </c>
    </row>
    <row r="268" spans="1:20" s="6" customFormat="1" ht="33" x14ac:dyDescent="0.25">
      <c r="A268" s="73" t="s">
        <v>33</v>
      </c>
      <c r="B268" s="58" t="s">
        <v>34</v>
      </c>
      <c r="C268" s="51"/>
      <c r="D268" s="33">
        <f t="shared" ref="D268:T268" si="68">D24+D40-D174</f>
        <v>0</v>
      </c>
      <c r="E268" s="33">
        <f t="shared" si="68"/>
        <v>0</v>
      </c>
      <c r="F268" s="33"/>
      <c r="G268" s="33">
        <f t="shared" si="68"/>
        <v>0</v>
      </c>
      <c r="H268" s="33">
        <f t="shared" si="68"/>
        <v>0</v>
      </c>
      <c r="I268" s="33">
        <f t="shared" si="68"/>
        <v>0</v>
      </c>
      <c r="J268" s="33">
        <f t="shared" si="68"/>
        <v>0</v>
      </c>
      <c r="K268" s="33">
        <f t="shared" si="68"/>
        <v>0</v>
      </c>
      <c r="L268" s="33">
        <f t="shared" si="68"/>
        <v>0</v>
      </c>
      <c r="M268" s="33">
        <f t="shared" si="68"/>
        <v>0</v>
      </c>
      <c r="N268" s="33">
        <f t="shared" si="68"/>
        <v>0</v>
      </c>
      <c r="O268" s="33">
        <f t="shared" si="68"/>
        <v>0</v>
      </c>
      <c r="P268" s="33">
        <f t="shared" si="68"/>
        <v>0</v>
      </c>
      <c r="Q268" s="33">
        <f t="shared" si="68"/>
        <v>0</v>
      </c>
      <c r="R268" s="33">
        <f t="shared" si="68"/>
        <v>0</v>
      </c>
      <c r="S268" s="33">
        <f t="shared" si="68"/>
        <v>0</v>
      </c>
      <c r="T268" s="33">
        <f t="shared" si="68"/>
        <v>0</v>
      </c>
    </row>
    <row r="269" spans="1:20" s="6" customFormat="1" ht="49.5" x14ac:dyDescent="0.25">
      <c r="A269" s="73" t="s">
        <v>35</v>
      </c>
      <c r="B269" s="58" t="s">
        <v>36</v>
      </c>
      <c r="C269" s="51"/>
      <c r="D269" s="33">
        <f t="shared" ref="D269:T269" si="69">D25+D41-D180</f>
        <v>0</v>
      </c>
      <c r="E269" s="33">
        <f t="shared" si="69"/>
        <v>0</v>
      </c>
      <c r="F269" s="33"/>
      <c r="G269" s="33">
        <f t="shared" si="69"/>
        <v>0</v>
      </c>
      <c r="H269" s="33">
        <f t="shared" si="69"/>
        <v>0</v>
      </c>
      <c r="I269" s="33">
        <f t="shared" si="69"/>
        <v>0</v>
      </c>
      <c r="J269" s="33">
        <f t="shared" si="69"/>
        <v>0</v>
      </c>
      <c r="K269" s="33">
        <f t="shared" si="69"/>
        <v>0</v>
      </c>
      <c r="L269" s="33">
        <f t="shared" si="69"/>
        <v>0</v>
      </c>
      <c r="M269" s="33">
        <f t="shared" si="69"/>
        <v>0</v>
      </c>
      <c r="N269" s="33">
        <f t="shared" si="69"/>
        <v>0</v>
      </c>
      <c r="O269" s="33">
        <f t="shared" si="69"/>
        <v>0</v>
      </c>
      <c r="P269" s="33">
        <f t="shared" si="69"/>
        <v>0</v>
      </c>
      <c r="Q269" s="33">
        <f t="shared" si="69"/>
        <v>0</v>
      </c>
      <c r="R269" s="33">
        <f t="shared" si="69"/>
        <v>0</v>
      </c>
      <c r="S269" s="33">
        <f t="shared" si="69"/>
        <v>0</v>
      </c>
      <c r="T269" s="33">
        <f t="shared" si="69"/>
        <v>0</v>
      </c>
    </row>
    <row r="270" spans="1:20" s="18" customFormat="1" ht="17.25" x14ac:dyDescent="0.25">
      <c r="A270" s="47">
        <v>3</v>
      </c>
      <c r="B270" s="62" t="s">
        <v>37</v>
      </c>
      <c r="C270" s="49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</row>
    <row r="271" spans="1:20" s="18" customFormat="1" ht="17.25" x14ac:dyDescent="0.25">
      <c r="A271" s="47">
        <v>4</v>
      </c>
      <c r="B271" s="62" t="s">
        <v>38</v>
      </c>
      <c r="C271" s="49"/>
      <c r="D271" s="34">
        <f t="shared" ref="D271:T271" si="70">D27+D43-D187</f>
        <v>0</v>
      </c>
      <c r="E271" s="34">
        <f t="shared" si="70"/>
        <v>3882761.34</v>
      </c>
      <c r="F271" s="34"/>
      <c r="G271" s="34">
        <f t="shared" si="70"/>
        <v>0</v>
      </c>
      <c r="H271" s="34">
        <f t="shared" si="70"/>
        <v>0</v>
      </c>
      <c r="I271" s="34">
        <f t="shared" si="70"/>
        <v>0</v>
      </c>
      <c r="J271" s="34">
        <f t="shared" si="70"/>
        <v>0</v>
      </c>
      <c r="K271" s="34">
        <f t="shared" si="70"/>
        <v>0</v>
      </c>
      <c r="L271" s="34">
        <f t="shared" si="70"/>
        <v>0</v>
      </c>
      <c r="M271" s="34">
        <f t="shared" si="70"/>
        <v>0</v>
      </c>
      <c r="N271" s="34">
        <f t="shared" si="70"/>
        <v>0</v>
      </c>
      <c r="O271" s="34">
        <f t="shared" si="70"/>
        <v>0</v>
      </c>
      <c r="P271" s="34">
        <f t="shared" si="70"/>
        <v>0</v>
      </c>
      <c r="Q271" s="34">
        <f t="shared" si="70"/>
        <v>0</v>
      </c>
      <c r="R271" s="34">
        <f t="shared" si="70"/>
        <v>0</v>
      </c>
      <c r="S271" s="34">
        <f t="shared" si="70"/>
        <v>0</v>
      </c>
      <c r="T271" s="34">
        <f t="shared" si="70"/>
        <v>3882761.34</v>
      </c>
    </row>
    <row r="272" spans="1:20" s="18" customFormat="1" ht="17.25" x14ac:dyDescent="0.25">
      <c r="A272" s="47">
        <v>5</v>
      </c>
      <c r="B272" s="62" t="s">
        <v>39</v>
      </c>
      <c r="C272" s="49"/>
      <c r="D272" s="34">
        <f t="shared" ref="D272:T272" si="71">D28+D44-D206</f>
        <v>0</v>
      </c>
      <c r="E272" s="34">
        <f t="shared" si="71"/>
        <v>145847.28000000003</v>
      </c>
      <c r="F272" s="34"/>
      <c r="G272" s="34">
        <f t="shared" si="71"/>
        <v>0</v>
      </c>
      <c r="H272" s="34">
        <f t="shared" si="71"/>
        <v>0</v>
      </c>
      <c r="I272" s="34">
        <f t="shared" si="71"/>
        <v>0</v>
      </c>
      <c r="J272" s="34">
        <f t="shared" si="71"/>
        <v>0</v>
      </c>
      <c r="K272" s="34">
        <f t="shared" si="71"/>
        <v>0</v>
      </c>
      <c r="L272" s="34">
        <f t="shared" si="71"/>
        <v>0</v>
      </c>
      <c r="M272" s="34">
        <f t="shared" si="71"/>
        <v>0</v>
      </c>
      <c r="N272" s="34">
        <f t="shared" si="71"/>
        <v>0</v>
      </c>
      <c r="O272" s="34">
        <f t="shared" si="71"/>
        <v>0</v>
      </c>
      <c r="P272" s="34">
        <f t="shared" si="71"/>
        <v>0</v>
      </c>
      <c r="Q272" s="34">
        <f t="shared" si="71"/>
        <v>0</v>
      </c>
      <c r="R272" s="34">
        <f t="shared" si="71"/>
        <v>0</v>
      </c>
      <c r="S272" s="34">
        <f t="shared" si="71"/>
        <v>0</v>
      </c>
      <c r="T272" s="34">
        <f t="shared" si="71"/>
        <v>145847.28000000003</v>
      </c>
    </row>
    <row r="273" spans="1:20" s="18" customFormat="1" ht="17.25" x14ac:dyDescent="0.25">
      <c r="A273" s="47">
        <v>6</v>
      </c>
      <c r="B273" s="62" t="s">
        <v>40</v>
      </c>
      <c r="C273" s="49"/>
      <c r="D273" s="34">
        <f t="shared" ref="D273:E273" si="72">D29+D45-D223</f>
        <v>0</v>
      </c>
      <c r="E273" s="34">
        <f t="shared" si="72"/>
        <v>53020806.410000026</v>
      </c>
      <c r="F273" s="34"/>
      <c r="G273" s="34">
        <f>G29+G45-G223</f>
        <v>0</v>
      </c>
      <c r="H273" s="34">
        <f t="shared" ref="H273:T273" si="73">H29+H45-H223</f>
        <v>0</v>
      </c>
      <c r="I273" s="34">
        <f t="shared" si="73"/>
        <v>0</v>
      </c>
      <c r="J273" s="34">
        <f t="shared" si="73"/>
        <v>0</v>
      </c>
      <c r="K273" s="34">
        <f t="shared" si="73"/>
        <v>0</v>
      </c>
      <c r="L273" s="34">
        <f t="shared" si="73"/>
        <v>0</v>
      </c>
      <c r="M273" s="34">
        <f t="shared" si="73"/>
        <v>0</v>
      </c>
      <c r="N273" s="34">
        <f t="shared" si="73"/>
        <v>0</v>
      </c>
      <c r="O273" s="34">
        <f t="shared" si="73"/>
        <v>0</v>
      </c>
      <c r="P273" s="34">
        <f t="shared" si="73"/>
        <v>0</v>
      </c>
      <c r="Q273" s="34">
        <f t="shared" si="73"/>
        <v>0</v>
      </c>
      <c r="R273" s="34">
        <f t="shared" si="73"/>
        <v>0</v>
      </c>
      <c r="S273" s="34">
        <f t="shared" si="73"/>
        <v>0</v>
      </c>
      <c r="T273" s="34">
        <f t="shared" si="73"/>
        <v>53020806.410000026</v>
      </c>
    </row>
    <row r="274" spans="1:20" s="18" customFormat="1" ht="17.25" x14ac:dyDescent="0.25">
      <c r="A274" s="47">
        <v>7</v>
      </c>
      <c r="B274" s="62" t="s">
        <v>41</v>
      </c>
      <c r="C274" s="49"/>
      <c r="D274" s="34">
        <f t="shared" ref="D274:E274" si="74">D30+D46-D241</f>
        <v>0</v>
      </c>
      <c r="E274" s="34">
        <f t="shared" si="74"/>
        <v>4017284.0199999958</v>
      </c>
      <c r="F274" s="34"/>
      <c r="G274" s="34">
        <f>G30+G46-G241</f>
        <v>0</v>
      </c>
      <c r="H274" s="34">
        <f t="shared" ref="H274:T274" si="75">H30+H46-H241</f>
        <v>0</v>
      </c>
      <c r="I274" s="34">
        <f t="shared" si="75"/>
        <v>0</v>
      </c>
      <c r="J274" s="34">
        <f t="shared" si="75"/>
        <v>0</v>
      </c>
      <c r="K274" s="34">
        <f t="shared" si="75"/>
        <v>0</v>
      </c>
      <c r="L274" s="34">
        <f t="shared" si="75"/>
        <v>0</v>
      </c>
      <c r="M274" s="34">
        <f t="shared" si="75"/>
        <v>0</v>
      </c>
      <c r="N274" s="34">
        <f t="shared" si="75"/>
        <v>0</v>
      </c>
      <c r="O274" s="34">
        <f t="shared" si="75"/>
        <v>0</v>
      </c>
      <c r="P274" s="34">
        <f t="shared" si="75"/>
        <v>0</v>
      </c>
      <c r="Q274" s="34">
        <f t="shared" si="75"/>
        <v>0</v>
      </c>
      <c r="R274" s="34">
        <f t="shared" si="75"/>
        <v>0</v>
      </c>
      <c r="S274" s="34">
        <f t="shared" si="75"/>
        <v>0</v>
      </c>
      <c r="T274" s="34">
        <f t="shared" si="75"/>
        <v>4017284.0199999958</v>
      </c>
    </row>
  </sheetData>
  <mergeCells count="23">
    <mergeCell ref="O13:P13"/>
    <mergeCell ref="Q13:R13"/>
    <mergeCell ref="A15:B15"/>
    <mergeCell ref="M1:U1"/>
    <mergeCell ref="M2:U2"/>
    <mergeCell ref="M3:U3"/>
    <mergeCell ref="A7:T7"/>
    <mergeCell ref="A31:B31"/>
    <mergeCell ref="A47:B47"/>
    <mergeCell ref="A8:T8"/>
    <mergeCell ref="A259:B259"/>
    <mergeCell ref="A9:S9"/>
    <mergeCell ref="A11:A14"/>
    <mergeCell ref="B11:B14"/>
    <mergeCell ref="C11:C14"/>
    <mergeCell ref="D11:E13"/>
    <mergeCell ref="G11:T11"/>
    <mergeCell ref="G12:H13"/>
    <mergeCell ref="I12:R12"/>
    <mergeCell ref="S12:T13"/>
    <mergeCell ref="I13:J13"/>
    <mergeCell ref="K13:L13"/>
    <mergeCell ref="M13:N1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5" orientation="landscape" horizontalDpi="180" verticalDpi="180" r:id="rId1"/>
  <rowBreaks count="3" manualBreakCount="3">
    <brk id="46" max="18" man="1"/>
    <brk id="122" max="19" man="1"/>
    <brk id="222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274"/>
  <sheetViews>
    <sheetView view="pageBreakPreview" topLeftCell="A225" zoomScale="70" zoomScaleNormal="80" zoomScaleSheetLayoutView="70" workbookViewId="0">
      <selection activeCell="E262" sqref="E262"/>
    </sheetView>
  </sheetViews>
  <sheetFormatPr defaultRowHeight="15" x14ac:dyDescent="0.25"/>
  <cols>
    <col min="1" max="1" width="9" customWidth="1"/>
    <col min="2" max="2" width="77.5703125" customWidth="1"/>
    <col min="3" max="3" width="11.42578125" customWidth="1"/>
    <col min="4" max="4" width="17.7109375" bestFit="1" customWidth="1"/>
    <col min="5" max="6" width="15.85546875" customWidth="1"/>
    <col min="7" max="7" width="16.42578125" bestFit="1" customWidth="1"/>
    <col min="8" max="8" width="20.140625" customWidth="1"/>
    <col min="9" max="9" width="14.85546875" hidden="1" customWidth="1"/>
    <col min="10" max="10" width="12.28515625" hidden="1" customWidth="1"/>
    <col min="11" max="12" width="16.42578125" bestFit="1" customWidth="1"/>
    <col min="13" max="13" width="13.140625" bestFit="1" customWidth="1"/>
    <col min="14" max="14" width="12.42578125" bestFit="1" customWidth="1"/>
    <col min="15" max="15" width="13" customWidth="1"/>
    <col min="16" max="16" width="12.28515625" bestFit="1" customWidth="1"/>
    <col min="17" max="17" width="12" customWidth="1"/>
    <col min="18" max="18" width="15.28515625" customWidth="1"/>
    <col min="19" max="20" width="16.42578125" bestFit="1" customWidth="1"/>
  </cols>
  <sheetData>
    <row r="1" spans="1:28" s="6" customFormat="1" ht="33" hidden="1" x14ac:dyDescent="0.25">
      <c r="A1" s="1"/>
      <c r="B1" s="2"/>
      <c r="C1" s="3"/>
      <c r="D1" s="3"/>
      <c r="E1" s="3"/>
      <c r="F1" s="3"/>
      <c r="G1" s="4"/>
      <c r="H1" s="4"/>
      <c r="I1" s="5"/>
      <c r="J1" s="5"/>
      <c r="K1" s="5"/>
      <c r="L1" s="5"/>
      <c r="M1" s="170" t="s">
        <v>0</v>
      </c>
      <c r="N1" s="170"/>
      <c r="O1" s="170"/>
      <c r="P1" s="170"/>
      <c r="Q1" s="170"/>
      <c r="R1" s="170"/>
      <c r="S1" s="170"/>
      <c r="T1" s="170"/>
      <c r="U1" s="170"/>
    </row>
    <row r="2" spans="1:28" s="6" customFormat="1" ht="33" hidden="1" x14ac:dyDescent="0.25">
      <c r="A2" s="1"/>
      <c r="B2" s="2"/>
      <c r="C2" s="3"/>
      <c r="D2" s="3"/>
      <c r="E2" s="3"/>
      <c r="F2" s="3"/>
      <c r="G2" s="3"/>
      <c r="H2" s="3"/>
      <c r="I2" s="5"/>
      <c r="J2" s="5"/>
      <c r="K2" s="5"/>
      <c r="L2" s="5"/>
      <c r="M2" s="170" t="s">
        <v>1</v>
      </c>
      <c r="N2" s="170"/>
      <c r="O2" s="170"/>
      <c r="P2" s="170"/>
      <c r="Q2" s="170"/>
      <c r="R2" s="170"/>
      <c r="S2" s="170"/>
      <c r="T2" s="170"/>
      <c r="U2" s="170"/>
    </row>
    <row r="3" spans="1:28" s="6" customFormat="1" ht="33" hidden="1" x14ac:dyDescent="0.25">
      <c r="A3" s="1"/>
      <c r="B3" s="2"/>
      <c r="C3" s="3"/>
      <c r="D3" s="3"/>
      <c r="E3" s="3"/>
      <c r="F3" s="3"/>
      <c r="G3" s="3"/>
      <c r="H3" s="3"/>
      <c r="I3" s="5"/>
      <c r="J3" s="5"/>
      <c r="K3" s="5"/>
      <c r="L3" s="5"/>
      <c r="M3" s="170" t="s">
        <v>2</v>
      </c>
      <c r="N3" s="170"/>
      <c r="O3" s="170"/>
      <c r="P3" s="170"/>
      <c r="Q3" s="170"/>
      <c r="R3" s="170"/>
      <c r="S3" s="170"/>
      <c r="T3" s="170"/>
      <c r="U3" s="170"/>
    </row>
    <row r="4" spans="1:28" s="6" customFormat="1" ht="33" hidden="1" x14ac:dyDescent="0.25">
      <c r="A4" s="1"/>
      <c r="B4" s="2"/>
      <c r="C4" s="3"/>
      <c r="D4" s="3"/>
      <c r="E4" s="3"/>
      <c r="F4" s="3"/>
      <c r="G4" s="4"/>
      <c r="H4" s="4"/>
      <c r="I4" s="7"/>
      <c r="J4" s="7"/>
      <c r="K4" s="7"/>
      <c r="L4" s="7"/>
      <c r="M4" s="8"/>
      <c r="N4" s="8"/>
      <c r="O4" s="8"/>
      <c r="P4" s="8"/>
      <c r="Q4" s="8"/>
      <c r="R4" s="8"/>
      <c r="S4" s="8"/>
      <c r="T4" s="8"/>
    </row>
    <row r="5" spans="1:28" s="6" customFormat="1" ht="16.5" x14ac:dyDescent="0.25">
      <c r="A5" s="9"/>
      <c r="B5" s="10"/>
      <c r="C5" s="11"/>
    </row>
    <row r="6" spans="1:28" s="6" customFormat="1" ht="16.5" x14ac:dyDescent="0.25">
      <c r="A6" s="9"/>
      <c r="B6" s="10"/>
      <c r="C6" s="11"/>
    </row>
    <row r="7" spans="1:28" s="6" customFormat="1" ht="99" customHeight="1" x14ac:dyDescent="0.25">
      <c r="A7" s="171" t="s">
        <v>303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79"/>
      <c r="V7" s="79"/>
      <c r="W7" s="79"/>
      <c r="X7" s="79"/>
      <c r="Y7" s="79"/>
      <c r="Z7" s="79"/>
    </row>
    <row r="8" spans="1:28" s="6" customFormat="1" ht="54.75" customHeight="1" x14ac:dyDescent="0.25">
      <c r="A8" s="172" t="s">
        <v>3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2"/>
      <c r="V8" s="12"/>
      <c r="W8" s="12"/>
      <c r="X8" s="12"/>
      <c r="Y8" s="12"/>
      <c r="Z8" s="12"/>
      <c r="AA8" s="12"/>
      <c r="AB8" s="12"/>
    </row>
    <row r="9" spans="1:28" s="6" customFormat="1" ht="30" customHeight="1" x14ac:dyDescent="0.5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</row>
    <row r="10" spans="1:28" s="6" customFormat="1" ht="18.75" x14ac:dyDescent="0.3">
      <c r="A10" s="9"/>
      <c r="B10" s="10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28" s="15" customFormat="1" ht="16.5" customHeight="1" x14ac:dyDescent="0.25">
      <c r="A11" s="158" t="s">
        <v>4</v>
      </c>
      <c r="B11" s="159" t="s">
        <v>5</v>
      </c>
      <c r="C11" s="158" t="s">
        <v>6</v>
      </c>
      <c r="D11" s="166" t="s">
        <v>7</v>
      </c>
      <c r="E11" s="166"/>
      <c r="F11" s="87"/>
      <c r="G11" s="166" t="s">
        <v>8</v>
      </c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</row>
    <row r="12" spans="1:28" s="16" customFormat="1" ht="15.75" customHeight="1" x14ac:dyDescent="0.25">
      <c r="A12" s="158"/>
      <c r="B12" s="159"/>
      <c r="C12" s="158"/>
      <c r="D12" s="166"/>
      <c r="E12" s="166"/>
      <c r="F12" s="87"/>
      <c r="G12" s="165" t="s">
        <v>9</v>
      </c>
      <c r="H12" s="165"/>
      <c r="I12" s="158" t="s">
        <v>10</v>
      </c>
      <c r="J12" s="158"/>
      <c r="K12" s="158"/>
      <c r="L12" s="158"/>
      <c r="M12" s="158"/>
      <c r="N12" s="158"/>
      <c r="O12" s="158"/>
      <c r="P12" s="158"/>
      <c r="Q12" s="158"/>
      <c r="R12" s="158"/>
      <c r="S12" s="165" t="s">
        <v>11</v>
      </c>
      <c r="T12" s="165"/>
    </row>
    <row r="13" spans="1:28" s="17" customFormat="1" ht="73.5" customHeight="1" x14ac:dyDescent="0.25">
      <c r="A13" s="158"/>
      <c r="B13" s="159"/>
      <c r="C13" s="158"/>
      <c r="D13" s="166"/>
      <c r="E13" s="166"/>
      <c r="F13" s="87"/>
      <c r="G13" s="165"/>
      <c r="H13" s="165"/>
      <c r="I13" s="158" t="s">
        <v>12</v>
      </c>
      <c r="J13" s="158"/>
      <c r="K13" s="158" t="s">
        <v>13</v>
      </c>
      <c r="L13" s="158"/>
      <c r="M13" s="158" t="s">
        <v>14</v>
      </c>
      <c r="N13" s="158"/>
      <c r="O13" s="158" t="s">
        <v>15</v>
      </c>
      <c r="P13" s="158"/>
      <c r="Q13" s="158" t="s">
        <v>278</v>
      </c>
      <c r="R13" s="158"/>
      <c r="S13" s="165"/>
      <c r="T13" s="165"/>
    </row>
    <row r="14" spans="1:28" s="17" customFormat="1" ht="73.5" customHeight="1" x14ac:dyDescent="0.25">
      <c r="A14" s="158"/>
      <c r="B14" s="159"/>
      <c r="C14" s="158"/>
      <c r="D14" s="44" t="s">
        <v>295</v>
      </c>
      <c r="E14" s="44" t="s">
        <v>296</v>
      </c>
      <c r="F14" s="87"/>
      <c r="G14" s="45" t="s">
        <v>295</v>
      </c>
      <c r="H14" s="45" t="s">
        <v>296</v>
      </c>
      <c r="I14" s="45" t="s">
        <v>295</v>
      </c>
      <c r="J14" s="45" t="s">
        <v>296</v>
      </c>
      <c r="K14" s="45" t="s">
        <v>295</v>
      </c>
      <c r="L14" s="45" t="s">
        <v>296</v>
      </c>
      <c r="M14" s="45" t="s">
        <v>295</v>
      </c>
      <c r="N14" s="45" t="s">
        <v>296</v>
      </c>
      <c r="O14" s="45" t="s">
        <v>295</v>
      </c>
      <c r="P14" s="45" t="s">
        <v>296</v>
      </c>
      <c r="Q14" s="45" t="s">
        <v>295</v>
      </c>
      <c r="R14" s="45" t="s">
        <v>296</v>
      </c>
      <c r="S14" s="45" t="s">
        <v>295</v>
      </c>
      <c r="T14" s="45" t="s">
        <v>296</v>
      </c>
    </row>
    <row r="15" spans="1:28" s="18" customFormat="1" ht="28.5" customHeight="1" x14ac:dyDescent="0.25">
      <c r="A15" s="168" t="s">
        <v>16</v>
      </c>
      <c r="B15" s="168"/>
      <c r="C15" s="46"/>
      <c r="D15" s="34">
        <f t="shared" ref="D15:O15" si="0">SUM(D16+D20+D26+D27+D28+D29+D30)</f>
        <v>3408473.9299999997</v>
      </c>
      <c r="E15" s="34">
        <f t="shared" si="0"/>
        <v>3408473.9299999997</v>
      </c>
      <c r="F15" s="34"/>
      <c r="G15" s="34">
        <f t="shared" si="0"/>
        <v>0</v>
      </c>
      <c r="H15" s="34"/>
      <c r="I15" s="34">
        <f t="shared" si="0"/>
        <v>0</v>
      </c>
      <c r="J15" s="34"/>
      <c r="K15" s="34">
        <f t="shared" si="0"/>
        <v>0</v>
      </c>
      <c r="L15" s="34"/>
      <c r="M15" s="34">
        <f t="shared" si="0"/>
        <v>0</v>
      </c>
      <c r="N15" s="34"/>
      <c r="O15" s="34">
        <f t="shared" si="0"/>
        <v>0</v>
      </c>
      <c r="P15" s="34"/>
      <c r="Q15" s="34"/>
      <c r="R15" s="34"/>
      <c r="S15" s="34">
        <f>SUM(S16+S20+S26+S27+S28+S29+S30)</f>
        <v>3408473.9299999997</v>
      </c>
      <c r="T15" s="34">
        <f>SUM(T16+T20+T26+T27+T28+T29+T30)</f>
        <v>3408473.9299999997</v>
      </c>
    </row>
    <row r="16" spans="1:28" s="18" customFormat="1" ht="17.25" x14ac:dyDescent="0.25">
      <c r="A16" s="47" t="s">
        <v>17</v>
      </c>
      <c r="B16" s="48" t="s">
        <v>18</v>
      </c>
      <c r="C16" s="49"/>
      <c r="D16" s="34">
        <f t="shared" ref="D16:E16" si="1">SUM(D17:D19)</f>
        <v>0</v>
      </c>
      <c r="E16" s="34">
        <f t="shared" si="1"/>
        <v>0</v>
      </c>
      <c r="F16" s="34"/>
      <c r="G16" s="34">
        <f>SUM(G17:G19)</f>
        <v>0</v>
      </c>
      <c r="H16" s="34"/>
      <c r="I16" s="34">
        <f>SUM(I17:I19)</f>
        <v>0</v>
      </c>
      <c r="J16" s="34"/>
      <c r="K16" s="34">
        <f>SUM(K17:K19)</f>
        <v>0</v>
      </c>
      <c r="L16" s="34"/>
      <c r="M16" s="34">
        <f>SUM(M17:M19)</f>
        <v>0</v>
      </c>
      <c r="N16" s="34"/>
      <c r="O16" s="34">
        <f>SUM(O17:O19)</f>
        <v>0</v>
      </c>
      <c r="P16" s="34"/>
      <c r="Q16" s="34">
        <f t="shared" ref="Q16:S16" si="2">SUM(Q17:Q19)</f>
        <v>0</v>
      </c>
      <c r="R16" s="34"/>
      <c r="S16" s="34">
        <f t="shared" si="2"/>
        <v>0</v>
      </c>
      <c r="T16" s="34">
        <f t="shared" ref="T16" si="3">SUM(T17:T19)</f>
        <v>0</v>
      </c>
    </row>
    <row r="17" spans="1:20" s="6" customFormat="1" ht="16.5" x14ac:dyDescent="0.25">
      <c r="A17" s="50" t="s">
        <v>19</v>
      </c>
      <c r="B17" s="28" t="s">
        <v>20</v>
      </c>
      <c r="C17" s="51"/>
      <c r="D17" s="33">
        <f>SUM(G17+I17+K17+M17+O17+Q17+S17)</f>
        <v>0</v>
      </c>
      <c r="E17" s="33">
        <f>SUM(H17+J17+L17+N17+P17+R17+T17)</f>
        <v>0</v>
      </c>
      <c r="F17" s="33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1:20" s="6" customFormat="1" ht="16.5" x14ac:dyDescent="0.25">
      <c r="A18" s="50" t="s">
        <v>21</v>
      </c>
      <c r="B18" s="28" t="s">
        <v>22</v>
      </c>
      <c r="C18" s="51"/>
      <c r="D18" s="33">
        <f t="shared" ref="D18:D28" si="4">SUM(G18+I18+K18+M18+O18+Q18+S18)</f>
        <v>0</v>
      </c>
      <c r="E18" s="33">
        <f t="shared" ref="E18:E28" si="5">SUM(H18+J18+L18+N18+P18+R18+T18)</f>
        <v>0</v>
      </c>
      <c r="F18" s="33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s="6" customFormat="1" ht="16.5" hidden="1" x14ac:dyDescent="0.25">
      <c r="A19" s="52"/>
      <c r="B19" s="28"/>
      <c r="C19" s="51"/>
      <c r="D19" s="33">
        <f t="shared" si="4"/>
        <v>0</v>
      </c>
      <c r="E19" s="33">
        <f t="shared" si="5"/>
        <v>0</v>
      </c>
      <c r="F19" s="33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s="20" customFormat="1" ht="17.25" x14ac:dyDescent="0.25">
      <c r="A20" s="53" t="s">
        <v>25</v>
      </c>
      <c r="B20" s="48" t="s">
        <v>26</v>
      </c>
      <c r="C20" s="54"/>
      <c r="D20" s="34">
        <f t="shared" si="4"/>
        <v>0</v>
      </c>
      <c r="E20" s="34">
        <f t="shared" si="5"/>
        <v>0</v>
      </c>
      <c r="F20" s="34"/>
      <c r="G20" s="25">
        <f>SUM(G21:G25)</f>
        <v>0</v>
      </c>
      <c r="H20" s="25"/>
      <c r="I20" s="25">
        <f>SUM(I21:I25)</f>
        <v>0</v>
      </c>
      <c r="J20" s="25"/>
      <c r="K20" s="25">
        <f>SUM(K21:K25)</f>
        <v>0</v>
      </c>
      <c r="L20" s="25"/>
      <c r="M20" s="25">
        <f>SUM(M21:M25)</f>
        <v>0</v>
      </c>
      <c r="N20" s="25"/>
      <c r="O20" s="25">
        <f>SUM(O21:O25)</f>
        <v>0</v>
      </c>
      <c r="P20" s="25"/>
      <c r="Q20" s="25">
        <f t="shared" ref="Q20:S20" si="6">SUM(Q21:Q25)</f>
        <v>0</v>
      </c>
      <c r="R20" s="25"/>
      <c r="S20" s="25">
        <f t="shared" si="6"/>
        <v>0</v>
      </c>
      <c r="T20" s="25">
        <f t="shared" ref="T20" si="7">SUM(T21:T25)</f>
        <v>0</v>
      </c>
    </row>
    <row r="21" spans="1:20" s="22" customFormat="1" ht="33" x14ac:dyDescent="0.25">
      <c r="A21" s="50" t="s">
        <v>27</v>
      </c>
      <c r="B21" s="28" t="s">
        <v>28</v>
      </c>
      <c r="C21" s="55"/>
      <c r="D21" s="33">
        <f t="shared" si="4"/>
        <v>0</v>
      </c>
      <c r="E21" s="33">
        <f t="shared" si="5"/>
        <v>0</v>
      </c>
      <c r="F21" s="33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</row>
    <row r="22" spans="1:20" s="22" customFormat="1" ht="33" x14ac:dyDescent="0.25">
      <c r="A22" s="50" t="s">
        <v>29</v>
      </c>
      <c r="B22" s="28" t="s">
        <v>30</v>
      </c>
      <c r="C22" s="55"/>
      <c r="D22" s="33">
        <f t="shared" si="4"/>
        <v>0</v>
      </c>
      <c r="E22" s="33">
        <f t="shared" si="5"/>
        <v>0</v>
      </c>
      <c r="F22" s="3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20" s="22" customFormat="1" ht="48" x14ac:dyDescent="0.25">
      <c r="A23" s="50" t="s">
        <v>31</v>
      </c>
      <c r="B23" s="28" t="s">
        <v>32</v>
      </c>
      <c r="C23" s="55"/>
      <c r="D23" s="33">
        <f t="shared" si="4"/>
        <v>0</v>
      </c>
      <c r="E23" s="33">
        <f t="shared" si="5"/>
        <v>0</v>
      </c>
      <c r="F23" s="33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1:20" s="22" customFormat="1" ht="33" hidden="1" x14ac:dyDescent="0.25">
      <c r="A24" s="50" t="s">
        <v>33</v>
      </c>
      <c r="B24" s="28" t="s">
        <v>34</v>
      </c>
      <c r="C24" s="55"/>
      <c r="D24" s="33">
        <f t="shared" si="4"/>
        <v>0</v>
      </c>
      <c r="E24" s="33">
        <f t="shared" si="5"/>
        <v>0</v>
      </c>
      <c r="F24" s="33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 spans="1:20" s="22" customFormat="1" ht="49.5" hidden="1" x14ac:dyDescent="0.25">
      <c r="A25" s="50" t="s">
        <v>35</v>
      </c>
      <c r="B25" s="28" t="s">
        <v>36</v>
      </c>
      <c r="C25" s="55"/>
      <c r="D25" s="33">
        <f t="shared" si="4"/>
        <v>0</v>
      </c>
      <c r="E25" s="33">
        <f t="shared" si="5"/>
        <v>0</v>
      </c>
      <c r="F25" s="33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1:20" s="24" customFormat="1" ht="17.25" x14ac:dyDescent="0.25">
      <c r="A26" s="56">
        <v>3</v>
      </c>
      <c r="B26" s="48" t="s">
        <v>37</v>
      </c>
      <c r="C26" s="54"/>
      <c r="D26" s="34">
        <f t="shared" si="4"/>
        <v>0</v>
      </c>
      <c r="E26" s="34">
        <f t="shared" si="5"/>
        <v>0</v>
      </c>
      <c r="F26" s="34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0" s="20" customFormat="1" ht="17.25" x14ac:dyDescent="0.25">
      <c r="A27" s="53">
        <v>4</v>
      </c>
      <c r="B27" s="48" t="s">
        <v>38</v>
      </c>
      <c r="C27" s="54"/>
      <c r="D27" s="34">
        <f t="shared" si="4"/>
        <v>80373.77</v>
      </c>
      <c r="E27" s="34">
        <f t="shared" si="5"/>
        <v>80373.77</v>
      </c>
      <c r="F27" s="3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>
        <v>80373.77</v>
      </c>
      <c r="T27" s="25">
        <v>80373.77</v>
      </c>
    </row>
    <row r="28" spans="1:20" s="20" customFormat="1" ht="17.25" x14ac:dyDescent="0.25">
      <c r="A28" s="53">
        <v>5</v>
      </c>
      <c r="B28" s="48" t="s">
        <v>39</v>
      </c>
      <c r="C28" s="54"/>
      <c r="D28" s="34">
        <f t="shared" si="4"/>
        <v>0</v>
      </c>
      <c r="E28" s="34">
        <f t="shared" si="5"/>
        <v>0</v>
      </c>
      <c r="F28" s="34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0" customFormat="1" ht="17.25" x14ac:dyDescent="0.25">
      <c r="A29" s="53">
        <v>6</v>
      </c>
      <c r="B29" s="48" t="s">
        <v>40</v>
      </c>
      <c r="C29" s="54"/>
      <c r="D29" s="34">
        <f t="shared" ref="D29:D92" si="8">SUM(G29+I29+K29+M29+O29+Q29+S29)</f>
        <v>3240880.61</v>
      </c>
      <c r="E29" s="34">
        <f t="shared" ref="E29:E92" si="9">SUM(H29+J29+L29+N29+P29+R29+T29)</f>
        <v>3240880.61</v>
      </c>
      <c r="F29" s="34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>
        <v>3240880.61</v>
      </c>
      <c r="T29" s="25">
        <v>3240880.61</v>
      </c>
    </row>
    <row r="30" spans="1:20" s="20" customFormat="1" ht="17.25" x14ac:dyDescent="0.25">
      <c r="A30" s="53">
        <v>7</v>
      </c>
      <c r="B30" s="48" t="s">
        <v>41</v>
      </c>
      <c r="C30" s="54"/>
      <c r="D30" s="34">
        <f t="shared" si="8"/>
        <v>87219.55</v>
      </c>
      <c r="E30" s="34">
        <f t="shared" si="9"/>
        <v>87219.55</v>
      </c>
      <c r="F30" s="34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>
        <v>87219.55</v>
      </c>
      <c r="T30" s="25">
        <v>87219.55</v>
      </c>
    </row>
    <row r="31" spans="1:20" s="20" customFormat="1" ht="26.25" customHeight="1" x14ac:dyDescent="0.25">
      <c r="A31" s="163" t="s">
        <v>42</v>
      </c>
      <c r="B31" s="163"/>
      <c r="C31" s="57"/>
      <c r="D31" s="34">
        <f t="shared" si="8"/>
        <v>197594255.91</v>
      </c>
      <c r="E31" s="34">
        <f t="shared" si="9"/>
        <v>62097606.07</v>
      </c>
      <c r="F31" s="34"/>
      <c r="G31" s="25">
        <f t="shared" ref="G31:S31" si="10">SUM(G32+G36+G42+G43+G44+G45+G46)</f>
        <v>82897801.909999996</v>
      </c>
      <c r="H31" s="25">
        <f t="shared" ref="H31:Q31" si="11">SUM(H32+H36+H42+H43+H44+H45+H46)</f>
        <v>25819730</v>
      </c>
      <c r="I31" s="25">
        <f t="shared" si="11"/>
        <v>0</v>
      </c>
      <c r="J31" s="25">
        <f t="shared" si="11"/>
        <v>0</v>
      </c>
      <c r="K31" s="25">
        <f t="shared" si="11"/>
        <v>70931999</v>
      </c>
      <c r="L31" s="25">
        <f t="shared" si="11"/>
        <v>20651600</v>
      </c>
      <c r="M31" s="25">
        <f t="shared" si="11"/>
        <v>206000</v>
      </c>
      <c r="N31" s="25">
        <f t="shared" si="11"/>
        <v>120300</v>
      </c>
      <c r="O31" s="25">
        <f t="shared" si="11"/>
        <v>0</v>
      </c>
      <c r="P31" s="25">
        <f t="shared" si="11"/>
        <v>0</v>
      </c>
      <c r="Q31" s="25">
        <f t="shared" si="11"/>
        <v>0</v>
      </c>
      <c r="R31" s="25"/>
      <c r="S31" s="25">
        <f t="shared" si="10"/>
        <v>43558455</v>
      </c>
      <c r="T31" s="25">
        <f t="shared" ref="T31" si="12">SUM(T32+T36+T42+T43+T44+T45+T46)</f>
        <v>15505976.07</v>
      </c>
    </row>
    <row r="32" spans="1:20" s="24" customFormat="1" ht="17.25" x14ac:dyDescent="0.25">
      <c r="A32" s="56" t="s">
        <v>17</v>
      </c>
      <c r="B32" s="48" t="s">
        <v>18</v>
      </c>
      <c r="C32" s="54"/>
      <c r="D32" s="34">
        <f t="shared" si="8"/>
        <v>142796019.91</v>
      </c>
      <c r="E32" s="34">
        <f t="shared" si="9"/>
        <v>44922590</v>
      </c>
      <c r="F32" s="34"/>
      <c r="G32" s="25">
        <f>SUM(G33:G35)</f>
        <v>71658020.909999996</v>
      </c>
      <c r="H32" s="25">
        <f>SUM(H33:H35)</f>
        <v>24150690</v>
      </c>
      <c r="I32" s="25">
        <f t="shared" ref="I32:Q32" si="13">SUM(I33:I35)</f>
        <v>0</v>
      </c>
      <c r="J32" s="25">
        <f t="shared" si="13"/>
        <v>0</v>
      </c>
      <c r="K32" s="25">
        <f t="shared" si="13"/>
        <v>70931999</v>
      </c>
      <c r="L32" s="25">
        <f t="shared" si="13"/>
        <v>20651600</v>
      </c>
      <c r="M32" s="25">
        <f t="shared" si="13"/>
        <v>206000</v>
      </c>
      <c r="N32" s="25">
        <f t="shared" si="13"/>
        <v>120300</v>
      </c>
      <c r="O32" s="25">
        <f t="shared" si="13"/>
        <v>0</v>
      </c>
      <c r="P32" s="25">
        <f t="shared" si="13"/>
        <v>0</v>
      </c>
      <c r="Q32" s="25">
        <f t="shared" si="13"/>
        <v>0</v>
      </c>
      <c r="R32" s="25"/>
      <c r="S32" s="23"/>
      <c r="T32" s="23"/>
    </row>
    <row r="33" spans="1:43" s="22" customFormat="1" ht="16.5" x14ac:dyDescent="0.25">
      <c r="A33" s="50" t="s">
        <v>19</v>
      </c>
      <c r="B33" s="28" t="s">
        <v>20</v>
      </c>
      <c r="C33" s="55"/>
      <c r="D33" s="33">
        <f t="shared" si="8"/>
        <v>139210256.91</v>
      </c>
      <c r="E33" s="33">
        <f t="shared" si="9"/>
        <v>43075636.189999998</v>
      </c>
      <c r="F33" s="33"/>
      <c r="G33" s="90">
        <v>68072257.909999996</v>
      </c>
      <c r="H33" s="90">
        <f>24150690-H34</f>
        <v>22303736.190000001</v>
      </c>
      <c r="I33" s="21"/>
      <c r="J33" s="21"/>
      <c r="K33" s="90">
        <v>70931999</v>
      </c>
      <c r="L33" s="90">
        <v>20651600</v>
      </c>
      <c r="M33" s="90">
        <v>206000</v>
      </c>
      <c r="N33" s="90">
        <v>120300</v>
      </c>
      <c r="O33" s="21"/>
      <c r="P33" s="21"/>
      <c r="Q33" s="21"/>
      <c r="R33" s="21"/>
      <c r="S33" s="21"/>
      <c r="T33" s="21"/>
    </row>
    <row r="34" spans="1:43" s="22" customFormat="1" ht="16.5" x14ac:dyDescent="0.25">
      <c r="A34" s="50" t="s">
        <v>21</v>
      </c>
      <c r="B34" s="28" t="s">
        <v>22</v>
      </c>
      <c r="C34" s="55"/>
      <c r="D34" s="33">
        <f t="shared" si="8"/>
        <v>3585763</v>
      </c>
      <c r="E34" s="33">
        <f t="shared" si="9"/>
        <v>1846953.81</v>
      </c>
      <c r="F34" s="33"/>
      <c r="G34" s="90">
        <v>3585763</v>
      </c>
      <c r="H34" s="90">
        <v>1846953.81</v>
      </c>
      <c r="I34" s="21"/>
      <c r="J34" s="21"/>
      <c r="K34" s="100"/>
      <c r="L34" s="100"/>
      <c r="M34" s="100"/>
      <c r="N34" s="100"/>
      <c r="O34" s="21"/>
      <c r="P34" s="21"/>
      <c r="Q34" s="21"/>
      <c r="R34" s="21"/>
      <c r="S34" s="21"/>
      <c r="T34" s="21"/>
    </row>
    <row r="35" spans="1:43" s="22" customFormat="1" ht="16.5" hidden="1" x14ac:dyDescent="0.25">
      <c r="A35" s="52"/>
      <c r="B35" s="28"/>
      <c r="C35" s="55"/>
      <c r="D35" s="33">
        <f t="shared" si="8"/>
        <v>0</v>
      </c>
      <c r="E35" s="33">
        <f t="shared" si="9"/>
        <v>0</v>
      </c>
      <c r="F35" s="33"/>
      <c r="G35" s="38"/>
      <c r="H35" s="38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1:43" s="24" customFormat="1" ht="17.25" x14ac:dyDescent="0.25">
      <c r="A36" s="56" t="s">
        <v>25</v>
      </c>
      <c r="B36" s="48" t="s">
        <v>26</v>
      </c>
      <c r="C36" s="54"/>
      <c r="D36" s="34">
        <f t="shared" si="8"/>
        <v>11239781</v>
      </c>
      <c r="E36" s="34">
        <f t="shared" si="9"/>
        <v>1669040</v>
      </c>
      <c r="F36" s="34"/>
      <c r="G36" s="25">
        <f>SUM(G37:G41)</f>
        <v>11239781</v>
      </c>
      <c r="H36" s="25">
        <f t="shared" ref="H36:L36" si="14">SUM(H37:H41)</f>
        <v>1669040</v>
      </c>
      <c r="I36" s="25">
        <f t="shared" si="14"/>
        <v>0</v>
      </c>
      <c r="J36" s="25">
        <f t="shared" si="14"/>
        <v>0</v>
      </c>
      <c r="K36" s="25">
        <f t="shared" si="14"/>
        <v>0</v>
      </c>
      <c r="L36" s="25">
        <f t="shared" si="14"/>
        <v>0</v>
      </c>
      <c r="M36" s="25">
        <f>SUM(M37:M41)</f>
        <v>0</v>
      </c>
      <c r="N36" s="25"/>
      <c r="O36" s="25">
        <f>SUM(O37:O41)</f>
        <v>0</v>
      </c>
      <c r="P36" s="25"/>
      <c r="Q36" s="25"/>
      <c r="R36" s="25"/>
      <c r="S36" s="23"/>
      <c r="T36" s="23"/>
    </row>
    <row r="37" spans="1:43" s="22" customFormat="1" ht="33" x14ac:dyDescent="0.25">
      <c r="A37" s="50" t="s">
        <v>27</v>
      </c>
      <c r="B37" s="28" t="s">
        <v>43</v>
      </c>
      <c r="C37" s="55"/>
      <c r="D37" s="33">
        <f t="shared" si="8"/>
        <v>10791539</v>
      </c>
      <c r="E37" s="33">
        <f t="shared" si="9"/>
        <v>1669040</v>
      </c>
      <c r="F37" s="33"/>
      <c r="G37" s="90">
        <f>10791539</f>
        <v>10791539</v>
      </c>
      <c r="H37" s="90">
        <v>1669040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pans="1:43" s="22" customFormat="1" ht="33" x14ac:dyDescent="0.25">
      <c r="A38" s="50" t="s">
        <v>29</v>
      </c>
      <c r="B38" s="28" t="s">
        <v>44</v>
      </c>
      <c r="C38" s="55"/>
      <c r="D38" s="33">
        <f t="shared" si="8"/>
        <v>0</v>
      </c>
      <c r="E38" s="33">
        <f t="shared" si="9"/>
        <v>0</v>
      </c>
      <c r="F38" s="33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1:43" s="22" customFormat="1" ht="48" x14ac:dyDescent="0.25">
      <c r="A39" s="50" t="s">
        <v>31</v>
      </c>
      <c r="B39" s="28" t="s">
        <v>32</v>
      </c>
      <c r="C39" s="55"/>
      <c r="D39" s="33">
        <f t="shared" si="8"/>
        <v>448242</v>
      </c>
      <c r="E39" s="33">
        <f t="shared" si="9"/>
        <v>0</v>
      </c>
      <c r="F39" s="33"/>
      <c r="G39" s="90">
        <v>448242</v>
      </c>
      <c r="H39" s="38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pans="1:43" s="22" customFormat="1" ht="33" hidden="1" x14ac:dyDescent="0.25">
      <c r="A40" s="50" t="s">
        <v>33</v>
      </c>
      <c r="B40" s="28" t="s">
        <v>34</v>
      </c>
      <c r="C40" s="55"/>
      <c r="D40" s="33">
        <f t="shared" si="8"/>
        <v>0</v>
      </c>
      <c r="E40" s="33">
        <f t="shared" si="9"/>
        <v>0</v>
      </c>
      <c r="F40" s="33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1:43" s="22" customFormat="1" ht="49.5" hidden="1" x14ac:dyDescent="0.25">
      <c r="A41" s="50" t="s">
        <v>35</v>
      </c>
      <c r="B41" s="28" t="s">
        <v>36</v>
      </c>
      <c r="C41" s="55"/>
      <c r="D41" s="33">
        <f t="shared" si="8"/>
        <v>0</v>
      </c>
      <c r="E41" s="33">
        <f t="shared" si="9"/>
        <v>0</v>
      </c>
      <c r="F41" s="33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1:43" s="20" customFormat="1" ht="17.25" x14ac:dyDescent="0.25">
      <c r="A42" s="53">
        <v>3</v>
      </c>
      <c r="B42" s="48" t="s">
        <v>37</v>
      </c>
      <c r="C42" s="54"/>
      <c r="D42" s="34">
        <f t="shared" si="8"/>
        <v>0</v>
      </c>
      <c r="E42" s="34">
        <f t="shared" si="9"/>
        <v>0</v>
      </c>
      <c r="F42" s="34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43" s="20" customFormat="1" ht="17.25" x14ac:dyDescent="0.25">
      <c r="A43" s="53">
        <v>4</v>
      </c>
      <c r="B43" s="48" t="s">
        <v>38</v>
      </c>
      <c r="C43" s="54"/>
      <c r="D43" s="34">
        <f t="shared" si="8"/>
        <v>1360000</v>
      </c>
      <c r="E43" s="34">
        <f t="shared" si="9"/>
        <v>1096047.1000000001</v>
      </c>
      <c r="F43" s="34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>
        <v>1360000</v>
      </c>
      <c r="T43" s="83">
        <v>1096047.1000000001</v>
      </c>
    </row>
    <row r="44" spans="1:43" s="20" customFormat="1" ht="17.25" x14ac:dyDescent="0.25">
      <c r="A44" s="53">
        <v>5</v>
      </c>
      <c r="B44" s="48" t="s">
        <v>39</v>
      </c>
      <c r="C44" s="54"/>
      <c r="D44" s="34">
        <f t="shared" si="8"/>
        <v>0</v>
      </c>
      <c r="E44" s="34">
        <f t="shared" si="9"/>
        <v>0</v>
      </c>
      <c r="F44" s="34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>
        <v>0</v>
      </c>
      <c r="T44" s="83">
        <v>0</v>
      </c>
    </row>
    <row r="45" spans="1:43" s="20" customFormat="1" ht="17.25" x14ac:dyDescent="0.25">
      <c r="A45" s="53">
        <v>6</v>
      </c>
      <c r="B45" s="48" t="s">
        <v>40</v>
      </c>
      <c r="C45" s="54"/>
      <c r="D45" s="34">
        <f t="shared" si="8"/>
        <v>41024855</v>
      </c>
      <c r="E45" s="34">
        <f t="shared" si="9"/>
        <v>14007997.58</v>
      </c>
      <c r="F45" s="34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>
        <v>41024855</v>
      </c>
      <c r="T45" s="83">
        <v>14007997.58</v>
      </c>
    </row>
    <row r="46" spans="1:43" s="20" customFormat="1" ht="17.25" x14ac:dyDescent="0.25">
      <c r="A46" s="53">
        <v>7</v>
      </c>
      <c r="B46" s="48" t="s">
        <v>41</v>
      </c>
      <c r="C46" s="54"/>
      <c r="D46" s="34">
        <f t="shared" si="8"/>
        <v>1173600</v>
      </c>
      <c r="E46" s="34">
        <f t="shared" si="9"/>
        <v>401931.39</v>
      </c>
      <c r="F46" s="34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>
        <v>1173600</v>
      </c>
      <c r="T46" s="83">
        <v>401931.39</v>
      </c>
    </row>
    <row r="47" spans="1:43" s="20" customFormat="1" ht="25.5" customHeight="1" x14ac:dyDescent="0.25">
      <c r="A47" s="163" t="s">
        <v>45</v>
      </c>
      <c r="B47" s="163"/>
      <c r="C47" s="57"/>
      <c r="D47" s="34">
        <f t="shared" si="8"/>
        <v>201002729.84</v>
      </c>
      <c r="E47" s="34">
        <f t="shared" si="9"/>
        <v>60170586.100000001</v>
      </c>
      <c r="F47" s="34"/>
      <c r="G47" s="25">
        <f t="shared" ref="G47:S47" si="15">SUM(G48+G84+G186+G187+G206+G223+G241)</f>
        <v>82897801.909999996</v>
      </c>
      <c r="H47" s="25">
        <f t="shared" ref="H47:L47" si="16">SUM(H48+H84+H186+H187+H206+H223+H241)</f>
        <v>25572459.030000001</v>
      </c>
      <c r="I47" s="25">
        <f t="shared" si="16"/>
        <v>0</v>
      </c>
      <c r="J47" s="25">
        <f t="shared" si="16"/>
        <v>0</v>
      </c>
      <c r="K47" s="25">
        <f t="shared" si="16"/>
        <v>70931999</v>
      </c>
      <c r="L47" s="25">
        <f t="shared" si="16"/>
        <v>20564967.419999998</v>
      </c>
      <c r="M47" s="25">
        <f t="shared" si="15"/>
        <v>206000</v>
      </c>
      <c r="N47" s="25">
        <f t="shared" ref="N47:O47" si="17">SUM(N48+N84+N186+N187+N206+N223+N241)</f>
        <v>120216</v>
      </c>
      <c r="O47" s="25">
        <f t="shared" si="17"/>
        <v>0</v>
      </c>
      <c r="P47" s="25"/>
      <c r="Q47" s="25"/>
      <c r="R47" s="25"/>
      <c r="S47" s="25">
        <f t="shared" si="15"/>
        <v>46966928.93</v>
      </c>
      <c r="T47" s="25">
        <f t="shared" ref="T47" si="18">SUM(T48+T84+T186+T187+T206+T223+T241)</f>
        <v>13912943.649999999</v>
      </c>
    </row>
    <row r="48" spans="1:43" s="20" customFormat="1" ht="17.25" x14ac:dyDescent="0.25">
      <c r="A48" s="53">
        <v>1</v>
      </c>
      <c r="B48" s="48" t="s">
        <v>18</v>
      </c>
      <c r="C48" s="54"/>
      <c r="D48" s="34">
        <f t="shared" si="8"/>
        <v>142796019.91</v>
      </c>
      <c r="E48" s="34">
        <f t="shared" si="9"/>
        <v>44835873.420000002</v>
      </c>
      <c r="F48" s="34"/>
      <c r="G48" s="25">
        <f>SUM(G49+G78+G82)</f>
        <v>71658020.909999996</v>
      </c>
      <c r="H48" s="25">
        <f t="shared" ref="H48:L48" si="19">SUM(H49+H78+H82)</f>
        <v>24150690</v>
      </c>
      <c r="I48" s="25">
        <f t="shared" si="19"/>
        <v>0</v>
      </c>
      <c r="J48" s="25">
        <f t="shared" si="19"/>
        <v>0</v>
      </c>
      <c r="K48" s="25">
        <f t="shared" si="19"/>
        <v>70931999</v>
      </c>
      <c r="L48" s="25">
        <f t="shared" si="19"/>
        <v>20564967.419999998</v>
      </c>
      <c r="M48" s="25">
        <f>SUM(M49+M78+M82)</f>
        <v>206000</v>
      </c>
      <c r="N48" s="25">
        <f t="shared" ref="N48:O48" si="20">SUM(N49+N78+N82)</f>
        <v>120216</v>
      </c>
      <c r="O48" s="25">
        <f t="shared" si="20"/>
        <v>0</v>
      </c>
      <c r="P48" s="25"/>
      <c r="Q48" s="25">
        <f t="shared" ref="Q48:S48" si="21">SUM(Q49+Q78+Q82)</f>
        <v>0</v>
      </c>
      <c r="R48" s="25"/>
      <c r="S48" s="25">
        <f t="shared" si="21"/>
        <v>0</v>
      </c>
      <c r="T48" s="25">
        <f t="shared" ref="T48" si="22">SUM(T49+T78+T82)</f>
        <v>0</v>
      </c>
      <c r="AQ48" s="20">
        <v>173284000</v>
      </c>
    </row>
    <row r="49" spans="1:20" s="20" customFormat="1" ht="17.25" x14ac:dyDescent="0.25">
      <c r="A49" s="53" t="s">
        <v>19</v>
      </c>
      <c r="B49" s="48" t="s">
        <v>20</v>
      </c>
      <c r="C49" s="54"/>
      <c r="D49" s="34">
        <f t="shared" si="8"/>
        <v>139210256.91</v>
      </c>
      <c r="E49" s="34">
        <f t="shared" si="9"/>
        <v>42988919.609999999</v>
      </c>
      <c r="F49" s="34"/>
      <c r="G49" s="25">
        <f>SUM(G50+G51+G52+G53+G54+G55+G59+G60+G61+G64+G65+G68)+G72+G75</f>
        <v>68072257.909999996</v>
      </c>
      <c r="H49" s="25">
        <f t="shared" ref="H49:L49" si="23">SUM(H50+H51+H52+H53+H54+H55+H59+H60+H61+H64+H65+H68)+H72+H75</f>
        <v>22303736.190000001</v>
      </c>
      <c r="I49" s="25">
        <f t="shared" si="23"/>
        <v>0</v>
      </c>
      <c r="J49" s="25">
        <f t="shared" si="23"/>
        <v>0</v>
      </c>
      <c r="K49" s="25">
        <f t="shared" si="23"/>
        <v>70931999</v>
      </c>
      <c r="L49" s="25">
        <f t="shared" si="23"/>
        <v>20564967.419999998</v>
      </c>
      <c r="M49" s="25">
        <f t="shared" ref="M49:S49" si="24">SUM(M50+M51+M52+M53+M54+M55+M59+M60+M61+M64+M65+M68)+M72</f>
        <v>206000</v>
      </c>
      <c r="N49" s="25">
        <f t="shared" ref="N49:O49" si="25">SUM(N50+N51+N52+N53+N54+N55+N59+N60+N61+N64+N65+N68)+N72</f>
        <v>120216</v>
      </c>
      <c r="O49" s="25">
        <f t="shared" si="25"/>
        <v>0</v>
      </c>
      <c r="P49" s="25"/>
      <c r="Q49" s="25"/>
      <c r="R49" s="25"/>
      <c r="S49" s="25">
        <f t="shared" si="24"/>
        <v>0</v>
      </c>
      <c r="T49" s="25">
        <f t="shared" ref="T49" si="26">SUM(T50+T51+T52+T53+T54+T55+T59+T60+T61+T64+T65+T68)+T72</f>
        <v>0</v>
      </c>
    </row>
    <row r="50" spans="1:20" s="22" customFormat="1" ht="16.5" x14ac:dyDescent="0.25">
      <c r="A50" s="50" t="s">
        <v>46</v>
      </c>
      <c r="B50" s="28" t="s">
        <v>47</v>
      </c>
      <c r="C50" s="55">
        <v>211</v>
      </c>
      <c r="D50" s="33">
        <f t="shared" si="8"/>
        <v>93234766</v>
      </c>
      <c r="E50" s="33">
        <f t="shared" si="9"/>
        <v>27320205.800000001</v>
      </c>
      <c r="F50" s="33"/>
      <c r="G50" s="38">
        <v>38915223</v>
      </c>
      <c r="H50" s="82">
        <v>11768252.41</v>
      </c>
      <c r="I50" s="21"/>
      <c r="J50" s="21"/>
      <c r="K50" s="38">
        <f>52096922+2222621</f>
        <v>54319543</v>
      </c>
      <c r="L50" s="82">
        <v>15551953.390000001</v>
      </c>
      <c r="M50" s="21"/>
      <c r="N50" s="21"/>
      <c r="O50" s="21"/>
      <c r="P50" s="21"/>
      <c r="Q50" s="21"/>
      <c r="R50" s="21"/>
      <c r="S50" s="21"/>
      <c r="T50" s="21"/>
    </row>
    <row r="51" spans="1:20" s="22" customFormat="1" ht="16.5" x14ac:dyDescent="0.25">
      <c r="A51" s="50" t="s">
        <v>48</v>
      </c>
      <c r="B51" s="28" t="s">
        <v>49</v>
      </c>
      <c r="C51" s="55">
        <v>212</v>
      </c>
      <c r="D51" s="33">
        <f t="shared" si="8"/>
        <v>221120</v>
      </c>
      <c r="E51" s="33">
        <f t="shared" si="9"/>
        <v>125817.48</v>
      </c>
      <c r="F51" s="33"/>
      <c r="G51" s="38">
        <v>15120</v>
      </c>
      <c r="H51" s="82">
        <v>5601.48</v>
      </c>
      <c r="I51" s="21"/>
      <c r="J51" s="21"/>
      <c r="K51" s="38"/>
      <c r="L51" s="82"/>
      <c r="M51" s="38">
        <v>206000</v>
      </c>
      <c r="N51" s="82">
        <v>120216</v>
      </c>
      <c r="O51" s="21"/>
      <c r="P51" s="21"/>
      <c r="Q51" s="21"/>
      <c r="R51" s="21"/>
      <c r="S51" s="21"/>
      <c r="T51" s="21"/>
    </row>
    <row r="52" spans="1:20" s="22" customFormat="1" ht="16.5" x14ac:dyDescent="0.25">
      <c r="A52" s="50" t="s">
        <v>50</v>
      </c>
      <c r="B52" s="28" t="s">
        <v>51</v>
      </c>
      <c r="C52" s="55">
        <v>213</v>
      </c>
      <c r="D52" s="33">
        <f t="shared" si="8"/>
        <v>27651149</v>
      </c>
      <c r="E52" s="33">
        <f t="shared" si="9"/>
        <v>8790264.379999999</v>
      </c>
      <c r="F52" s="33"/>
      <c r="G52" s="38">
        <v>11518908</v>
      </c>
      <c r="H52" s="82">
        <v>3911719.05</v>
      </c>
      <c r="I52" s="21"/>
      <c r="J52" s="21"/>
      <c r="K52" s="38">
        <f>15472123+660118</f>
        <v>16132241</v>
      </c>
      <c r="L52" s="82">
        <v>4878545.33</v>
      </c>
      <c r="M52" s="21"/>
      <c r="N52" s="21"/>
      <c r="O52" s="21"/>
      <c r="P52" s="21"/>
      <c r="Q52" s="21"/>
      <c r="R52" s="21"/>
      <c r="S52" s="21"/>
      <c r="T52" s="21"/>
    </row>
    <row r="53" spans="1:20" s="22" customFormat="1" ht="16.5" x14ac:dyDescent="0.25">
      <c r="A53" s="52" t="s">
        <v>52</v>
      </c>
      <c r="B53" s="28" t="s">
        <v>53</v>
      </c>
      <c r="C53" s="55">
        <v>221</v>
      </c>
      <c r="D53" s="33">
        <f t="shared" si="8"/>
        <v>134100</v>
      </c>
      <c r="E53" s="33">
        <f t="shared" si="9"/>
        <v>35739.54</v>
      </c>
      <c r="F53" s="33"/>
      <c r="G53" s="38">
        <v>134100</v>
      </c>
      <c r="H53" s="82">
        <v>35739.54</v>
      </c>
      <c r="I53" s="21"/>
      <c r="J53" s="21"/>
      <c r="K53" s="38"/>
      <c r="L53" s="82"/>
      <c r="M53" s="21"/>
      <c r="N53" s="21"/>
      <c r="O53" s="21"/>
      <c r="P53" s="21"/>
      <c r="Q53" s="21"/>
      <c r="R53" s="21"/>
      <c r="S53" s="21"/>
      <c r="T53" s="21"/>
    </row>
    <row r="54" spans="1:20" s="22" customFormat="1" ht="16.5" x14ac:dyDescent="0.25">
      <c r="A54" s="50" t="s">
        <v>54</v>
      </c>
      <c r="B54" s="28" t="s">
        <v>55</v>
      </c>
      <c r="C54" s="55">
        <v>222</v>
      </c>
      <c r="D54" s="33">
        <f t="shared" si="8"/>
        <v>0</v>
      </c>
      <c r="E54" s="33">
        <f t="shared" si="9"/>
        <v>0</v>
      </c>
      <c r="F54" s="33"/>
      <c r="G54" s="38"/>
      <c r="H54" s="82"/>
      <c r="I54" s="21"/>
      <c r="J54" s="21"/>
      <c r="K54" s="21"/>
      <c r="L54" s="84"/>
      <c r="M54" s="21"/>
      <c r="N54" s="21"/>
      <c r="O54" s="21"/>
      <c r="P54" s="21"/>
      <c r="Q54" s="21"/>
      <c r="R54" s="21"/>
      <c r="S54" s="21"/>
      <c r="T54" s="21"/>
    </row>
    <row r="55" spans="1:20" s="22" customFormat="1" ht="16.5" x14ac:dyDescent="0.25">
      <c r="A55" s="50" t="s">
        <v>56</v>
      </c>
      <c r="B55" s="28" t="s">
        <v>57</v>
      </c>
      <c r="C55" s="55">
        <v>223</v>
      </c>
      <c r="D55" s="33">
        <f t="shared" si="8"/>
        <v>10544770.91</v>
      </c>
      <c r="E55" s="33">
        <f t="shared" si="9"/>
        <v>5176524.57</v>
      </c>
      <c r="F55" s="33"/>
      <c r="G55" s="38">
        <f>SUM(G56:G58)</f>
        <v>10544770.91</v>
      </c>
      <c r="H55" s="82">
        <f>SUM(H56:H58)</f>
        <v>5176524.57</v>
      </c>
      <c r="I55" s="21"/>
      <c r="J55" s="21"/>
      <c r="K55" s="21"/>
      <c r="L55" s="84"/>
      <c r="M55" s="21"/>
      <c r="N55" s="21"/>
      <c r="O55" s="21"/>
      <c r="P55" s="21"/>
      <c r="Q55" s="21"/>
      <c r="R55" s="21"/>
      <c r="S55" s="21"/>
      <c r="T55" s="21"/>
    </row>
    <row r="56" spans="1:20" s="22" customFormat="1" ht="16.5" x14ac:dyDescent="0.25">
      <c r="A56" s="50"/>
      <c r="B56" s="28" t="s">
        <v>58</v>
      </c>
      <c r="C56" s="55">
        <v>223</v>
      </c>
      <c r="D56" s="33">
        <f t="shared" si="8"/>
        <v>5808363</v>
      </c>
      <c r="E56" s="33">
        <f t="shared" si="9"/>
        <v>3522619.02</v>
      </c>
      <c r="F56" s="33"/>
      <c r="G56" s="38">
        <v>5808363</v>
      </c>
      <c r="H56" s="82">
        <v>3522619.02</v>
      </c>
      <c r="I56" s="21"/>
      <c r="J56" s="21"/>
      <c r="K56" s="21"/>
      <c r="L56" s="84"/>
      <c r="M56" s="21"/>
      <c r="N56" s="21"/>
      <c r="O56" s="21"/>
      <c r="P56" s="21"/>
      <c r="Q56" s="21"/>
      <c r="R56" s="21"/>
      <c r="S56" s="21"/>
      <c r="T56" s="21"/>
    </row>
    <row r="57" spans="1:20" s="22" customFormat="1" ht="16.5" x14ac:dyDescent="0.25">
      <c r="A57" s="50"/>
      <c r="B57" s="28" t="s">
        <v>59</v>
      </c>
      <c r="C57" s="55">
        <v>223</v>
      </c>
      <c r="D57" s="33">
        <f t="shared" si="8"/>
        <v>2830995.91</v>
      </c>
      <c r="E57" s="33">
        <f t="shared" si="9"/>
        <v>1066256.3999999999</v>
      </c>
      <c r="F57" s="33"/>
      <c r="G57" s="38">
        <v>2830995.91</v>
      </c>
      <c r="H57" s="82">
        <v>1066256.3999999999</v>
      </c>
      <c r="I57" s="21"/>
      <c r="J57" s="21"/>
      <c r="K57" s="21"/>
      <c r="L57" s="84"/>
      <c r="M57" s="21"/>
      <c r="N57" s="21"/>
      <c r="O57" s="21"/>
      <c r="P57" s="21"/>
      <c r="Q57" s="21"/>
      <c r="R57" s="21"/>
      <c r="S57" s="21"/>
      <c r="T57" s="21"/>
    </row>
    <row r="58" spans="1:20" s="22" customFormat="1" ht="16.5" x14ac:dyDescent="0.25">
      <c r="A58" s="50"/>
      <c r="B58" s="28" t="s">
        <v>60</v>
      </c>
      <c r="C58" s="55">
        <v>223</v>
      </c>
      <c r="D58" s="33">
        <f t="shared" si="8"/>
        <v>1905412</v>
      </c>
      <c r="E58" s="33">
        <f t="shared" si="9"/>
        <v>587649.15</v>
      </c>
      <c r="F58" s="33"/>
      <c r="G58" s="38">
        <v>1905412</v>
      </c>
      <c r="H58" s="82">
        <v>587649.15</v>
      </c>
      <c r="I58" s="21"/>
      <c r="J58" s="21"/>
      <c r="K58" s="21"/>
      <c r="L58" s="84"/>
      <c r="M58" s="21"/>
      <c r="N58" s="21"/>
      <c r="O58" s="21"/>
      <c r="P58" s="21"/>
      <c r="Q58" s="21"/>
      <c r="R58" s="21"/>
      <c r="S58" s="21"/>
      <c r="T58" s="21"/>
    </row>
    <row r="59" spans="1:20" s="22" customFormat="1" ht="16.5" x14ac:dyDescent="0.25">
      <c r="A59" s="52" t="s">
        <v>61</v>
      </c>
      <c r="B59" s="28" t="s">
        <v>62</v>
      </c>
      <c r="C59" s="55">
        <v>224</v>
      </c>
      <c r="D59" s="33">
        <f t="shared" si="8"/>
        <v>0</v>
      </c>
      <c r="E59" s="33">
        <f t="shared" si="9"/>
        <v>0</v>
      </c>
      <c r="F59" s="33"/>
      <c r="G59" s="38"/>
      <c r="H59" s="80"/>
      <c r="I59" s="21"/>
      <c r="J59" s="21"/>
      <c r="K59" s="21"/>
      <c r="L59" s="84"/>
      <c r="M59" s="21"/>
      <c r="N59" s="21"/>
      <c r="O59" s="21"/>
      <c r="P59" s="21"/>
      <c r="Q59" s="21"/>
      <c r="R59" s="21"/>
      <c r="S59" s="21"/>
      <c r="T59" s="21"/>
    </row>
    <row r="60" spans="1:20" s="22" customFormat="1" ht="16.5" x14ac:dyDescent="0.25">
      <c r="A60" s="52" t="s">
        <v>63</v>
      </c>
      <c r="B60" s="28" t="s">
        <v>64</v>
      </c>
      <c r="C60" s="55">
        <v>225</v>
      </c>
      <c r="D60" s="33">
        <f t="shared" si="8"/>
        <v>2198204</v>
      </c>
      <c r="E60" s="33">
        <f t="shared" si="9"/>
        <v>303450.44</v>
      </c>
      <c r="F60" s="33"/>
      <c r="G60" s="38">
        <v>2198204</v>
      </c>
      <c r="H60" s="80">
        <v>303450.44</v>
      </c>
      <c r="I60" s="21"/>
      <c r="J60" s="21"/>
      <c r="K60" s="21"/>
      <c r="L60" s="84"/>
      <c r="M60" s="21"/>
      <c r="N60" s="21"/>
      <c r="O60" s="21"/>
      <c r="P60" s="21"/>
      <c r="Q60" s="21"/>
      <c r="R60" s="21"/>
      <c r="S60" s="21"/>
      <c r="T60" s="21"/>
    </row>
    <row r="61" spans="1:20" s="22" customFormat="1" ht="16.5" x14ac:dyDescent="0.25">
      <c r="A61" s="52" t="s">
        <v>65</v>
      </c>
      <c r="B61" s="28" t="s">
        <v>66</v>
      </c>
      <c r="C61" s="55">
        <v>226</v>
      </c>
      <c r="D61" s="33">
        <f t="shared" si="8"/>
        <v>1923138</v>
      </c>
      <c r="E61" s="33">
        <f t="shared" si="9"/>
        <v>589582.98</v>
      </c>
      <c r="F61" s="33"/>
      <c r="G61" s="38">
        <v>1923138</v>
      </c>
      <c r="H61" s="80">
        <f>H62+H63</f>
        <v>589582.98</v>
      </c>
      <c r="I61" s="21"/>
      <c r="J61" s="21"/>
      <c r="K61" s="21"/>
      <c r="L61" s="84"/>
      <c r="M61" s="21"/>
      <c r="N61" s="21"/>
      <c r="O61" s="21"/>
      <c r="P61" s="21"/>
      <c r="Q61" s="21"/>
      <c r="R61" s="21"/>
      <c r="S61" s="21"/>
      <c r="T61" s="21"/>
    </row>
    <row r="62" spans="1:20" s="22" customFormat="1" ht="16.5" x14ac:dyDescent="0.25">
      <c r="A62" s="52"/>
      <c r="B62" s="28" t="s">
        <v>75</v>
      </c>
      <c r="C62" s="55">
        <v>226</v>
      </c>
      <c r="D62" s="33">
        <f t="shared" si="8"/>
        <v>0</v>
      </c>
      <c r="E62" s="33">
        <f t="shared" si="9"/>
        <v>0</v>
      </c>
      <c r="F62" s="33"/>
      <c r="G62" s="38"/>
      <c r="H62" s="80"/>
      <c r="I62" s="21"/>
      <c r="J62" s="21"/>
      <c r="K62" s="21"/>
      <c r="L62" s="84"/>
      <c r="M62" s="21"/>
      <c r="N62" s="21"/>
      <c r="O62" s="21"/>
      <c r="P62" s="21"/>
      <c r="Q62" s="21"/>
      <c r="R62" s="21"/>
      <c r="S62" s="21"/>
      <c r="T62" s="21"/>
    </row>
    <row r="63" spans="1:20" s="22" customFormat="1" ht="16.5" x14ac:dyDescent="0.25">
      <c r="A63" s="52"/>
      <c r="B63" s="28" t="s">
        <v>285</v>
      </c>
      <c r="C63" s="55">
        <v>226</v>
      </c>
      <c r="D63" s="33">
        <f t="shared" si="8"/>
        <v>1923138</v>
      </c>
      <c r="E63" s="33">
        <f t="shared" si="9"/>
        <v>589582.98</v>
      </c>
      <c r="F63" s="33"/>
      <c r="G63" s="38">
        <v>1923138</v>
      </c>
      <c r="H63" s="80">
        <v>589582.98</v>
      </c>
      <c r="I63" s="21"/>
      <c r="J63" s="21"/>
      <c r="K63" s="21"/>
      <c r="L63" s="84"/>
      <c r="M63" s="21"/>
      <c r="N63" s="21"/>
      <c r="O63" s="21"/>
      <c r="P63" s="21"/>
      <c r="Q63" s="21"/>
      <c r="R63" s="21"/>
      <c r="S63" s="21"/>
      <c r="T63" s="21"/>
    </row>
    <row r="64" spans="1:20" s="22" customFormat="1" ht="16.5" x14ac:dyDescent="0.25">
      <c r="A64" s="52" t="s">
        <v>67</v>
      </c>
      <c r="B64" s="28" t="s">
        <v>68</v>
      </c>
      <c r="C64" s="55">
        <v>290</v>
      </c>
      <c r="D64" s="33">
        <f t="shared" si="8"/>
        <v>0</v>
      </c>
      <c r="E64" s="33">
        <f t="shared" si="9"/>
        <v>0</v>
      </c>
      <c r="F64" s="33"/>
      <c r="G64" s="38"/>
      <c r="H64" s="82"/>
      <c r="I64" s="21"/>
      <c r="J64" s="21"/>
      <c r="K64" s="21"/>
      <c r="L64" s="84"/>
      <c r="M64" s="21"/>
      <c r="N64" s="21"/>
      <c r="O64" s="21"/>
      <c r="P64" s="21"/>
      <c r="Q64" s="21"/>
      <c r="R64" s="21"/>
      <c r="S64" s="21"/>
      <c r="T64" s="21"/>
    </row>
    <row r="65" spans="1:20" s="22" customFormat="1" ht="16.5" x14ac:dyDescent="0.25">
      <c r="A65" s="52" t="s">
        <v>69</v>
      </c>
      <c r="B65" s="28" t="s">
        <v>70</v>
      </c>
      <c r="C65" s="55">
        <v>310</v>
      </c>
      <c r="D65" s="33">
        <f t="shared" si="8"/>
        <v>180656</v>
      </c>
      <c r="E65" s="33">
        <f t="shared" si="9"/>
        <v>37606</v>
      </c>
      <c r="F65" s="33"/>
      <c r="G65" s="21"/>
      <c r="H65" s="82"/>
      <c r="I65" s="21"/>
      <c r="J65" s="21"/>
      <c r="K65" s="38">
        <f>SUM(K66:K67)</f>
        <v>180656</v>
      </c>
      <c r="L65" s="82">
        <f>SUM(L66:L67)</f>
        <v>37606</v>
      </c>
      <c r="M65" s="21"/>
      <c r="N65" s="21"/>
      <c r="O65" s="21"/>
      <c r="P65" s="21"/>
      <c r="Q65" s="21"/>
      <c r="R65" s="21"/>
      <c r="S65" s="21"/>
      <c r="T65" s="21"/>
    </row>
    <row r="66" spans="1:20" s="22" customFormat="1" ht="16.5" x14ac:dyDescent="0.25">
      <c r="A66" s="52"/>
      <c r="B66" s="28" t="s">
        <v>71</v>
      </c>
      <c r="C66" s="55">
        <v>310</v>
      </c>
      <c r="D66" s="33">
        <f t="shared" si="8"/>
        <v>0</v>
      </c>
      <c r="E66" s="33">
        <f t="shared" si="9"/>
        <v>0</v>
      </c>
      <c r="F66" s="33"/>
      <c r="G66" s="21"/>
      <c r="H66" s="82"/>
      <c r="I66" s="21"/>
      <c r="J66" s="21"/>
      <c r="K66" s="21"/>
      <c r="L66" s="84"/>
      <c r="M66" s="21"/>
      <c r="N66" s="21"/>
      <c r="O66" s="21"/>
      <c r="P66" s="21"/>
      <c r="Q66" s="21"/>
      <c r="R66" s="21"/>
      <c r="S66" s="21"/>
      <c r="T66" s="21"/>
    </row>
    <row r="67" spans="1:20" s="22" customFormat="1" ht="16.5" x14ac:dyDescent="0.25">
      <c r="A67" s="52"/>
      <c r="B67" s="28" t="s">
        <v>72</v>
      </c>
      <c r="C67" s="55">
        <v>310</v>
      </c>
      <c r="D67" s="33">
        <f t="shared" si="8"/>
        <v>180656</v>
      </c>
      <c r="E67" s="33">
        <f t="shared" si="9"/>
        <v>37606</v>
      </c>
      <c r="F67" s="33"/>
      <c r="G67" s="21"/>
      <c r="H67" s="82"/>
      <c r="I67" s="21"/>
      <c r="J67" s="21"/>
      <c r="K67" s="38">
        <v>180656</v>
      </c>
      <c r="L67" s="82">
        <v>37606</v>
      </c>
      <c r="M67" s="21"/>
      <c r="N67" s="21"/>
      <c r="O67" s="21"/>
      <c r="P67" s="21"/>
      <c r="Q67" s="21"/>
      <c r="R67" s="21"/>
      <c r="S67" s="21"/>
      <c r="T67" s="21"/>
    </row>
    <row r="68" spans="1:20" s="22" customFormat="1" ht="16.5" x14ac:dyDescent="0.25">
      <c r="A68" s="52" t="s">
        <v>73</v>
      </c>
      <c r="B68" s="28" t="s">
        <v>74</v>
      </c>
      <c r="C68" s="55">
        <v>340</v>
      </c>
      <c r="D68" s="33">
        <f t="shared" si="8"/>
        <v>299559</v>
      </c>
      <c r="E68" s="33">
        <f t="shared" si="9"/>
        <v>96862.7</v>
      </c>
      <c r="F68" s="33"/>
      <c r="G68" s="21"/>
      <c r="H68" s="82"/>
      <c r="I68" s="21"/>
      <c r="J68" s="21"/>
      <c r="K68" s="38">
        <f>SUM(K69:K71)</f>
        <v>299559</v>
      </c>
      <c r="L68" s="82">
        <f>SUM(L69:L71)</f>
        <v>96862.7</v>
      </c>
      <c r="M68" s="21"/>
      <c r="N68" s="21"/>
      <c r="O68" s="21"/>
      <c r="P68" s="21"/>
      <c r="Q68" s="21"/>
      <c r="R68" s="21"/>
      <c r="S68" s="21"/>
      <c r="T68" s="21"/>
    </row>
    <row r="69" spans="1:20" s="22" customFormat="1" ht="16.5" x14ac:dyDescent="0.25">
      <c r="A69" s="52"/>
      <c r="B69" s="28" t="s">
        <v>75</v>
      </c>
      <c r="C69" s="55">
        <v>340</v>
      </c>
      <c r="D69" s="33">
        <f t="shared" si="8"/>
        <v>0</v>
      </c>
      <c r="E69" s="33">
        <f t="shared" si="9"/>
        <v>0</v>
      </c>
      <c r="F69" s="33"/>
      <c r="G69" s="21"/>
      <c r="H69" s="82"/>
      <c r="I69" s="21"/>
      <c r="J69" s="21"/>
      <c r="K69" s="21"/>
      <c r="L69" s="82"/>
      <c r="M69" s="21"/>
      <c r="N69" s="21"/>
      <c r="O69" s="21"/>
      <c r="P69" s="21"/>
      <c r="Q69" s="21"/>
      <c r="R69" s="21"/>
      <c r="S69" s="21"/>
      <c r="T69" s="21"/>
    </row>
    <row r="70" spans="1:20" s="22" customFormat="1" ht="16.5" x14ac:dyDescent="0.25">
      <c r="A70" s="52"/>
      <c r="B70" s="28" t="s">
        <v>76</v>
      </c>
      <c r="C70" s="55">
        <v>340</v>
      </c>
      <c r="D70" s="33">
        <f t="shared" si="8"/>
        <v>299559</v>
      </c>
      <c r="E70" s="33">
        <f t="shared" si="9"/>
        <v>96862.7</v>
      </c>
      <c r="F70" s="33"/>
      <c r="G70" s="21"/>
      <c r="H70" s="82"/>
      <c r="I70" s="21"/>
      <c r="J70" s="21"/>
      <c r="K70" s="38">
        <v>299559</v>
      </c>
      <c r="L70" s="82">
        <v>96862.7</v>
      </c>
      <c r="M70" s="21"/>
      <c r="N70" s="21"/>
      <c r="O70" s="21"/>
      <c r="P70" s="21"/>
      <c r="Q70" s="21"/>
      <c r="R70" s="21"/>
      <c r="S70" s="21"/>
      <c r="T70" s="21"/>
    </row>
    <row r="71" spans="1:20" s="22" customFormat="1" ht="16.5" x14ac:dyDescent="0.25">
      <c r="A71" s="52"/>
      <c r="B71" s="28" t="s">
        <v>77</v>
      </c>
      <c r="C71" s="55">
        <v>340</v>
      </c>
      <c r="D71" s="33">
        <f t="shared" si="8"/>
        <v>0</v>
      </c>
      <c r="E71" s="33">
        <f t="shared" si="9"/>
        <v>0</v>
      </c>
      <c r="F71" s="33"/>
      <c r="G71" s="21"/>
      <c r="H71" s="82"/>
      <c r="I71" s="21"/>
      <c r="J71" s="21"/>
      <c r="K71" s="21"/>
      <c r="L71" s="84"/>
      <c r="M71" s="21"/>
      <c r="N71" s="21"/>
      <c r="O71" s="21"/>
      <c r="P71" s="21"/>
      <c r="Q71" s="21"/>
      <c r="R71" s="21"/>
      <c r="S71" s="21"/>
      <c r="T71" s="21"/>
    </row>
    <row r="72" spans="1:20" s="22" customFormat="1" ht="16.5" x14ac:dyDescent="0.25">
      <c r="A72" s="52" t="s">
        <v>78</v>
      </c>
      <c r="B72" s="28" t="s">
        <v>79</v>
      </c>
      <c r="C72" s="55"/>
      <c r="D72" s="33">
        <f t="shared" si="8"/>
        <v>0</v>
      </c>
      <c r="E72" s="33">
        <f t="shared" si="9"/>
        <v>0</v>
      </c>
      <c r="F72" s="33"/>
      <c r="G72" s="21"/>
      <c r="H72" s="82"/>
      <c r="I72" s="21"/>
      <c r="J72" s="21"/>
      <c r="K72" s="21"/>
      <c r="L72" s="84"/>
      <c r="M72" s="21"/>
      <c r="N72" s="21"/>
      <c r="O72" s="21"/>
      <c r="P72" s="21"/>
      <c r="Q72" s="21"/>
      <c r="R72" s="21"/>
      <c r="S72" s="21"/>
      <c r="T72" s="21"/>
    </row>
    <row r="73" spans="1:20" s="22" customFormat="1" ht="16.5" x14ac:dyDescent="0.25">
      <c r="A73" s="52"/>
      <c r="B73" s="28" t="s">
        <v>66</v>
      </c>
      <c r="C73" s="55">
        <v>226</v>
      </c>
      <c r="D73" s="33">
        <f t="shared" si="8"/>
        <v>0</v>
      </c>
      <c r="E73" s="33">
        <f t="shared" si="9"/>
        <v>0</v>
      </c>
      <c r="F73" s="33"/>
      <c r="G73" s="21"/>
      <c r="H73" s="82"/>
      <c r="I73" s="21"/>
      <c r="J73" s="21"/>
      <c r="K73" s="21"/>
      <c r="L73" s="84"/>
      <c r="M73" s="21"/>
      <c r="N73" s="21"/>
      <c r="O73" s="21"/>
      <c r="P73" s="21"/>
      <c r="Q73" s="21"/>
      <c r="R73" s="21"/>
      <c r="S73" s="21"/>
      <c r="T73" s="21"/>
    </row>
    <row r="74" spans="1:20" s="22" customFormat="1" ht="16.5" x14ac:dyDescent="0.25">
      <c r="A74" s="52"/>
      <c r="B74" s="58" t="s">
        <v>74</v>
      </c>
      <c r="C74" s="55">
        <v>340</v>
      </c>
      <c r="D74" s="33">
        <f t="shared" si="8"/>
        <v>0</v>
      </c>
      <c r="E74" s="33">
        <f t="shared" si="9"/>
        <v>0</v>
      </c>
      <c r="F74" s="33"/>
      <c r="G74" s="21"/>
      <c r="H74" s="82"/>
      <c r="I74" s="21"/>
      <c r="J74" s="21"/>
      <c r="K74" s="21"/>
      <c r="L74" s="84"/>
      <c r="M74" s="21"/>
      <c r="N74" s="21"/>
      <c r="O74" s="21"/>
      <c r="P74" s="21"/>
      <c r="Q74" s="21"/>
      <c r="R74" s="21"/>
      <c r="S74" s="21"/>
      <c r="T74" s="21"/>
    </row>
    <row r="75" spans="1:20" s="22" customFormat="1" ht="16.5" x14ac:dyDescent="0.25">
      <c r="A75" s="52" t="s">
        <v>283</v>
      </c>
      <c r="B75" s="28" t="s">
        <v>24</v>
      </c>
      <c r="C75" s="55"/>
      <c r="D75" s="33">
        <f t="shared" si="8"/>
        <v>2822794</v>
      </c>
      <c r="E75" s="33">
        <f t="shared" si="9"/>
        <v>512865.72</v>
      </c>
      <c r="F75" s="33"/>
      <c r="G75" s="38">
        <f>SUM(G76)</f>
        <v>2822794</v>
      </c>
      <c r="H75" s="82">
        <f>SUM(H76)</f>
        <v>512865.72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</row>
    <row r="76" spans="1:20" s="22" customFormat="1" ht="16.5" x14ac:dyDescent="0.25">
      <c r="A76" s="52"/>
      <c r="B76" s="58" t="s">
        <v>74</v>
      </c>
      <c r="C76" s="55">
        <v>340</v>
      </c>
      <c r="D76" s="33">
        <f t="shared" si="8"/>
        <v>2822794</v>
      </c>
      <c r="E76" s="33">
        <f t="shared" si="9"/>
        <v>512865.72</v>
      </c>
      <c r="F76" s="33"/>
      <c r="G76" s="38">
        <v>2822794</v>
      </c>
      <c r="H76" s="80">
        <f>515000-2134.28</f>
        <v>512865.72</v>
      </c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</row>
    <row r="77" spans="1:20" s="22" customFormat="1" ht="16.5" hidden="1" x14ac:dyDescent="0.25">
      <c r="A77" s="52"/>
      <c r="B77" s="58"/>
      <c r="C77" s="55"/>
      <c r="D77" s="33">
        <f t="shared" si="8"/>
        <v>0</v>
      </c>
      <c r="E77" s="33">
        <f t="shared" si="9"/>
        <v>0</v>
      </c>
      <c r="F77" s="33"/>
      <c r="G77" s="21"/>
      <c r="H77" s="84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</row>
    <row r="78" spans="1:20" s="20" customFormat="1" ht="17.25" x14ac:dyDescent="0.25">
      <c r="A78" s="59" t="s">
        <v>21</v>
      </c>
      <c r="B78" s="48" t="s">
        <v>22</v>
      </c>
      <c r="C78" s="54"/>
      <c r="D78" s="33">
        <f t="shared" si="8"/>
        <v>3585763</v>
      </c>
      <c r="E78" s="33">
        <f t="shared" si="9"/>
        <v>1846953.81</v>
      </c>
      <c r="F78" s="33"/>
      <c r="G78" s="25">
        <f>SUM(G79:G81)</f>
        <v>3585763</v>
      </c>
      <c r="H78" s="83">
        <f>SUM(H79:H81)</f>
        <v>1846953.81</v>
      </c>
      <c r="I78" s="25">
        <f>SUM(I79:I81)</f>
        <v>0</v>
      </c>
      <c r="J78" s="25"/>
      <c r="K78" s="25">
        <f>SUM(K79:K81)</f>
        <v>0</v>
      </c>
      <c r="L78" s="25"/>
      <c r="M78" s="25">
        <f>SUM(M79:M81)</f>
        <v>0</v>
      </c>
      <c r="N78" s="25"/>
      <c r="O78" s="25">
        <f>SUM(O79:O81)</f>
        <v>0</v>
      </c>
      <c r="P78" s="25"/>
      <c r="Q78" s="25"/>
      <c r="R78" s="25"/>
      <c r="S78" s="25"/>
      <c r="T78" s="25"/>
    </row>
    <row r="79" spans="1:20" s="22" customFormat="1" ht="16.5" x14ac:dyDescent="0.25">
      <c r="A79" s="52"/>
      <c r="B79" s="28" t="s">
        <v>80</v>
      </c>
      <c r="C79" s="55">
        <v>290</v>
      </c>
      <c r="D79" s="33">
        <f t="shared" si="8"/>
        <v>1637070</v>
      </c>
      <c r="E79" s="33">
        <f t="shared" si="9"/>
        <v>822969.95</v>
      </c>
      <c r="F79" s="33"/>
      <c r="G79" s="38">
        <v>1637070</v>
      </c>
      <c r="H79" s="82">
        <v>822969.95</v>
      </c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</row>
    <row r="80" spans="1:20" s="22" customFormat="1" ht="16.5" x14ac:dyDescent="0.25">
      <c r="A80" s="50"/>
      <c r="B80" s="28" t="s">
        <v>81</v>
      </c>
      <c r="C80" s="55">
        <v>290</v>
      </c>
      <c r="D80" s="33">
        <f t="shared" si="8"/>
        <v>1918273</v>
      </c>
      <c r="E80" s="33">
        <f t="shared" si="9"/>
        <v>1011216</v>
      </c>
      <c r="F80" s="33"/>
      <c r="G80" s="38">
        <v>1918273</v>
      </c>
      <c r="H80" s="82">
        <v>1011216</v>
      </c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spans="1:20" s="22" customFormat="1" ht="16.5" x14ac:dyDescent="0.25">
      <c r="A81" s="50"/>
      <c r="B81" s="28" t="s">
        <v>82</v>
      </c>
      <c r="C81" s="55">
        <v>290</v>
      </c>
      <c r="D81" s="33">
        <f t="shared" si="8"/>
        <v>30420</v>
      </c>
      <c r="E81" s="33">
        <f t="shared" si="9"/>
        <v>12767.86</v>
      </c>
      <c r="F81" s="33"/>
      <c r="G81" s="38">
        <v>30420</v>
      </c>
      <c r="H81" s="82">
        <v>12767.86</v>
      </c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</row>
    <row r="82" spans="1:20" s="20" customFormat="1" ht="17.25" hidden="1" x14ac:dyDescent="0.25">
      <c r="A82" s="59"/>
      <c r="B82" s="48"/>
      <c r="C82" s="54"/>
      <c r="D82" s="33">
        <f t="shared" si="8"/>
        <v>0</v>
      </c>
      <c r="E82" s="33">
        <f t="shared" si="9"/>
        <v>0</v>
      </c>
      <c r="F82" s="33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1:20" s="22" customFormat="1" ht="16.5" hidden="1" x14ac:dyDescent="0.25">
      <c r="A83" s="52"/>
      <c r="B83" s="58"/>
      <c r="C83" s="55"/>
      <c r="D83" s="33">
        <f t="shared" si="8"/>
        <v>0</v>
      </c>
      <c r="E83" s="33">
        <f t="shared" si="9"/>
        <v>0</v>
      </c>
      <c r="F83" s="33"/>
      <c r="G83" s="38"/>
      <c r="H83" s="38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</row>
    <row r="84" spans="1:20" s="20" customFormat="1" ht="17.25" x14ac:dyDescent="0.25">
      <c r="A84" s="59" t="s">
        <v>25</v>
      </c>
      <c r="B84" s="48" t="s">
        <v>26</v>
      </c>
      <c r="C84" s="54"/>
      <c r="D84" s="33">
        <f t="shared" si="8"/>
        <v>11239781</v>
      </c>
      <c r="E84" s="33">
        <f t="shared" si="9"/>
        <v>1421769.03</v>
      </c>
      <c r="F84" s="33"/>
      <c r="G84" s="25">
        <f>SUM(G85+G165+G168+G174+G180)</f>
        <v>11239781</v>
      </c>
      <c r="H84" s="25">
        <f>SUM(H85+H165+H168+H174+H180)</f>
        <v>1421769.03</v>
      </c>
      <c r="I84" s="25">
        <f>SUM(I85+I165+I168+I174+I180)</f>
        <v>0</v>
      </c>
      <c r="J84" s="25"/>
      <c r="K84" s="25">
        <f>SUM(K85+K165+K168+K174+K180)</f>
        <v>0</v>
      </c>
      <c r="L84" s="25"/>
      <c r="M84" s="25">
        <f>SUM(M85+M165+M168+M174+M180)</f>
        <v>0</v>
      </c>
      <c r="N84" s="25"/>
      <c r="O84" s="25">
        <f>SUM(O85+O165+O168+O174+O180)</f>
        <v>0</v>
      </c>
      <c r="P84" s="25"/>
      <c r="Q84" s="25"/>
      <c r="R84" s="25"/>
      <c r="S84" s="25"/>
      <c r="T84" s="25"/>
    </row>
    <row r="85" spans="1:20" s="20" customFormat="1" ht="51.75" x14ac:dyDescent="0.25">
      <c r="A85" s="59" t="s">
        <v>27</v>
      </c>
      <c r="B85" s="48" t="s">
        <v>83</v>
      </c>
      <c r="C85" s="54"/>
      <c r="D85" s="33">
        <f t="shared" si="8"/>
        <v>10791539</v>
      </c>
      <c r="E85" s="33">
        <f t="shared" si="9"/>
        <v>1421769.03</v>
      </c>
      <c r="F85" s="33"/>
      <c r="G85" s="25">
        <f>SUM(G86+G89+G99+G118+G129+G135)</f>
        <v>10791539</v>
      </c>
      <c r="H85" s="25">
        <f t="shared" ref="H85:I85" si="27">SUM(H86+H89+H99+H118+H129+H135)</f>
        <v>1421769.03</v>
      </c>
      <c r="I85" s="25">
        <f t="shared" si="27"/>
        <v>0</v>
      </c>
      <c r="J85" s="25"/>
      <c r="K85" s="25">
        <f>SUM(K86+K89+K99+K118+K129+K135)</f>
        <v>0</v>
      </c>
      <c r="L85" s="25"/>
      <c r="M85" s="25">
        <f>SUM(M86+M89+M99+M118+M129+M135)</f>
        <v>0</v>
      </c>
      <c r="N85" s="25"/>
      <c r="O85" s="25">
        <f>SUM(O86+O89+O99+O118+O129+O135)</f>
        <v>0</v>
      </c>
      <c r="P85" s="25"/>
      <c r="Q85" s="25"/>
      <c r="R85" s="25"/>
      <c r="S85" s="25"/>
      <c r="T85" s="25"/>
    </row>
    <row r="86" spans="1:20" s="20" customFormat="1" ht="17.25" x14ac:dyDescent="0.25">
      <c r="A86" s="59" t="s">
        <v>84</v>
      </c>
      <c r="B86" s="48" t="s">
        <v>85</v>
      </c>
      <c r="C86" s="54"/>
      <c r="D86" s="33">
        <f t="shared" si="8"/>
        <v>0</v>
      </c>
      <c r="E86" s="33">
        <f t="shared" si="9"/>
        <v>0</v>
      </c>
      <c r="F86" s="33"/>
      <c r="G86" s="25">
        <f>SUM(G87:G88)</f>
        <v>0</v>
      </c>
      <c r="H86" s="25">
        <f t="shared" ref="H86:I86" si="28">SUM(H87:H88)</f>
        <v>0</v>
      </c>
      <c r="I86" s="25">
        <f t="shared" si="28"/>
        <v>0</v>
      </c>
      <c r="J86" s="25"/>
      <c r="K86" s="25">
        <f>SUM(K87:K88)</f>
        <v>0</v>
      </c>
      <c r="L86" s="25"/>
      <c r="M86" s="25">
        <f>SUM(M87:M88)</f>
        <v>0</v>
      </c>
      <c r="N86" s="25"/>
      <c r="O86" s="25">
        <f>SUM(O87:O88)</f>
        <v>0</v>
      </c>
      <c r="P86" s="25"/>
      <c r="Q86" s="25"/>
      <c r="R86" s="25"/>
      <c r="S86" s="25"/>
      <c r="T86" s="25"/>
    </row>
    <row r="87" spans="1:20" s="26" customFormat="1" ht="16.5" x14ac:dyDescent="0.25">
      <c r="A87" s="60"/>
      <c r="B87" s="28" t="s">
        <v>86</v>
      </c>
      <c r="C87" s="55">
        <v>225</v>
      </c>
      <c r="D87" s="33">
        <f t="shared" si="8"/>
        <v>0</v>
      </c>
      <c r="E87" s="33">
        <f t="shared" si="9"/>
        <v>0</v>
      </c>
      <c r="F87" s="33"/>
      <c r="G87" s="38"/>
      <c r="H87" s="38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</row>
    <row r="88" spans="1:20" s="26" customFormat="1" ht="16.5" x14ac:dyDescent="0.25">
      <c r="A88" s="52"/>
      <c r="B88" s="28" t="s">
        <v>87</v>
      </c>
      <c r="C88" s="55">
        <v>226</v>
      </c>
      <c r="D88" s="33">
        <f t="shared" si="8"/>
        <v>0</v>
      </c>
      <c r="E88" s="33">
        <f t="shared" si="9"/>
        <v>0</v>
      </c>
      <c r="F88" s="33"/>
      <c r="G88" s="38"/>
      <c r="H88" s="38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</row>
    <row r="89" spans="1:20" s="20" customFormat="1" ht="17.25" x14ac:dyDescent="0.25">
      <c r="A89" s="59" t="s">
        <v>88</v>
      </c>
      <c r="B89" s="48" t="s">
        <v>89</v>
      </c>
      <c r="C89" s="54"/>
      <c r="D89" s="33">
        <f t="shared" si="8"/>
        <v>10702139</v>
      </c>
      <c r="E89" s="33">
        <f t="shared" si="9"/>
        <v>1421769.03</v>
      </c>
      <c r="F89" s="33"/>
      <c r="G89" s="25">
        <f>SUM(G90:G98)</f>
        <v>10702139</v>
      </c>
      <c r="H89" s="25">
        <f>SUM(H90:H98)</f>
        <v>1421769.03</v>
      </c>
      <c r="I89" s="25">
        <f>SUM(I90:I98)</f>
        <v>0</v>
      </c>
      <c r="J89" s="25"/>
      <c r="K89" s="25">
        <f>SUM(K90:K98)</f>
        <v>0</v>
      </c>
      <c r="L89" s="25"/>
      <c r="M89" s="25">
        <f>SUM(M90:M98)</f>
        <v>0</v>
      </c>
      <c r="N89" s="25"/>
      <c r="O89" s="25">
        <f>SUM(O90:O98)</f>
        <v>0</v>
      </c>
      <c r="P89" s="25"/>
      <c r="Q89" s="25"/>
      <c r="R89" s="25"/>
      <c r="S89" s="25"/>
      <c r="T89" s="25"/>
    </row>
    <row r="90" spans="1:20" s="26" customFormat="1" ht="16.5" x14ac:dyDescent="0.25">
      <c r="A90" s="52" t="s">
        <v>90</v>
      </c>
      <c r="B90" s="28" t="s">
        <v>91</v>
      </c>
      <c r="C90" s="55">
        <v>225</v>
      </c>
      <c r="D90" s="33">
        <f t="shared" si="8"/>
        <v>8981139</v>
      </c>
      <c r="E90" s="33">
        <f t="shared" si="9"/>
        <v>1421769.03</v>
      </c>
      <c r="F90" s="33"/>
      <c r="G90" s="38">
        <f>8501045.73+1422065-941971.73</f>
        <v>8981139</v>
      </c>
      <c r="H90" s="82">
        <v>1421769.03</v>
      </c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</row>
    <row r="91" spans="1:20" s="26" customFormat="1" ht="16.5" x14ac:dyDescent="0.25">
      <c r="A91" s="52" t="s">
        <v>90</v>
      </c>
      <c r="B91" s="28" t="s">
        <v>87</v>
      </c>
      <c r="C91" s="55">
        <v>226</v>
      </c>
      <c r="D91" s="33">
        <f t="shared" si="8"/>
        <v>100000</v>
      </c>
      <c r="E91" s="33">
        <f t="shared" si="9"/>
        <v>0</v>
      </c>
      <c r="F91" s="33"/>
      <c r="G91" s="38">
        <f>200000-100000</f>
        <v>100000</v>
      </c>
      <c r="H91" s="38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</row>
    <row r="92" spans="1:20" s="26" customFormat="1" ht="16.5" x14ac:dyDescent="0.25">
      <c r="A92" s="52" t="s">
        <v>92</v>
      </c>
      <c r="B92" s="28" t="s">
        <v>93</v>
      </c>
      <c r="C92" s="55">
        <v>340</v>
      </c>
      <c r="D92" s="33">
        <f t="shared" si="8"/>
        <v>0</v>
      </c>
      <c r="E92" s="33">
        <f t="shared" si="9"/>
        <v>0</v>
      </c>
      <c r="F92" s="33"/>
      <c r="G92" s="38">
        <v>0</v>
      </c>
      <c r="H92" s="38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</row>
    <row r="93" spans="1:20" s="26" customFormat="1" ht="16.5" x14ac:dyDescent="0.25">
      <c r="A93" s="52" t="s">
        <v>94</v>
      </c>
      <c r="B93" s="28" t="s">
        <v>95</v>
      </c>
      <c r="C93" s="55">
        <v>310</v>
      </c>
      <c r="D93" s="33">
        <f t="shared" ref="D93:D162" si="29">SUM(G93+I93+K93+M93+O93+Q93+S93)</f>
        <v>1490000</v>
      </c>
      <c r="E93" s="33">
        <f t="shared" ref="E93:E162" si="30">SUM(H93+J93+L93+N93+P93+R93+T93)</f>
        <v>0</v>
      </c>
      <c r="F93" s="33"/>
      <c r="G93" s="38">
        <v>1490000</v>
      </c>
      <c r="H93" s="38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</row>
    <row r="94" spans="1:20" s="26" customFormat="1" ht="33" x14ac:dyDescent="0.25">
      <c r="A94" s="52" t="s">
        <v>96</v>
      </c>
      <c r="B94" s="28" t="s">
        <v>97</v>
      </c>
      <c r="C94" s="55">
        <v>225</v>
      </c>
      <c r="D94" s="33">
        <f t="shared" si="29"/>
        <v>75400</v>
      </c>
      <c r="E94" s="33">
        <f t="shared" si="30"/>
        <v>0</v>
      </c>
      <c r="F94" s="33"/>
      <c r="G94" s="38">
        <v>75400</v>
      </c>
      <c r="H94" s="38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</row>
    <row r="95" spans="1:20" s="26" customFormat="1" ht="33" x14ac:dyDescent="0.25">
      <c r="A95" s="52" t="s">
        <v>96</v>
      </c>
      <c r="B95" s="28" t="s">
        <v>97</v>
      </c>
      <c r="C95" s="55">
        <v>226</v>
      </c>
      <c r="D95" s="33">
        <f t="shared" si="29"/>
        <v>55600</v>
      </c>
      <c r="E95" s="33">
        <f t="shared" si="30"/>
        <v>0</v>
      </c>
      <c r="F95" s="33"/>
      <c r="G95" s="38">
        <v>55600</v>
      </c>
      <c r="H95" s="38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</row>
    <row r="96" spans="1:20" s="26" customFormat="1" ht="33" hidden="1" x14ac:dyDescent="0.25">
      <c r="A96" s="52" t="s">
        <v>96</v>
      </c>
      <c r="B96" s="28" t="s">
        <v>97</v>
      </c>
      <c r="C96" s="55">
        <v>340</v>
      </c>
      <c r="D96" s="33">
        <f t="shared" si="29"/>
        <v>0</v>
      </c>
      <c r="E96" s="33">
        <f t="shared" si="30"/>
        <v>0</v>
      </c>
      <c r="F96" s="33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</row>
    <row r="97" spans="1:20" s="26" customFormat="1" ht="16.5" hidden="1" x14ac:dyDescent="0.25">
      <c r="A97" s="52" t="s">
        <v>98</v>
      </c>
      <c r="B97" s="28" t="s">
        <v>99</v>
      </c>
      <c r="C97" s="55">
        <v>310</v>
      </c>
      <c r="D97" s="33">
        <f t="shared" si="29"/>
        <v>0</v>
      </c>
      <c r="E97" s="33">
        <f t="shared" si="30"/>
        <v>0</v>
      </c>
      <c r="F97" s="33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</row>
    <row r="98" spans="1:20" s="26" customFormat="1" ht="16.5" hidden="1" x14ac:dyDescent="0.25">
      <c r="A98" s="52" t="s">
        <v>98</v>
      </c>
      <c r="B98" s="28" t="s">
        <v>99</v>
      </c>
      <c r="C98" s="55">
        <v>340</v>
      </c>
      <c r="D98" s="33">
        <f t="shared" si="29"/>
        <v>0</v>
      </c>
      <c r="E98" s="33">
        <f t="shared" si="30"/>
        <v>0</v>
      </c>
      <c r="F98" s="33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</row>
    <row r="99" spans="1:20" s="18" customFormat="1" ht="17.25" x14ac:dyDescent="0.25">
      <c r="A99" s="61" t="s">
        <v>100</v>
      </c>
      <c r="B99" s="62" t="s">
        <v>101</v>
      </c>
      <c r="C99" s="49"/>
      <c r="D99" s="33">
        <f t="shared" si="29"/>
        <v>89400</v>
      </c>
      <c r="E99" s="33">
        <f t="shared" si="30"/>
        <v>0</v>
      </c>
      <c r="F99" s="33"/>
      <c r="G99" s="34">
        <f>SUM(G100:G117)</f>
        <v>89400</v>
      </c>
      <c r="H99" s="34"/>
      <c r="I99" s="34">
        <f>SUM(I100:I117)</f>
        <v>0</v>
      </c>
      <c r="J99" s="34"/>
      <c r="K99" s="34">
        <f>SUM(K100:K117)</f>
        <v>0</v>
      </c>
      <c r="L99" s="34"/>
      <c r="M99" s="34">
        <f>SUM(M100:M117)</f>
        <v>0</v>
      </c>
      <c r="N99" s="34"/>
      <c r="O99" s="34">
        <f>SUM(O100:O117)</f>
        <v>0</v>
      </c>
      <c r="P99" s="34"/>
      <c r="Q99" s="34"/>
      <c r="R99" s="34"/>
      <c r="S99" s="34"/>
      <c r="T99" s="34"/>
    </row>
    <row r="100" spans="1:20" s="27" customFormat="1" ht="33" hidden="1" x14ac:dyDescent="0.25">
      <c r="A100" s="63" t="s">
        <v>102</v>
      </c>
      <c r="B100" s="58" t="s">
        <v>103</v>
      </c>
      <c r="C100" s="51">
        <v>226</v>
      </c>
      <c r="D100" s="33">
        <f t="shared" si="29"/>
        <v>0</v>
      </c>
      <c r="E100" s="33">
        <f t="shared" si="30"/>
        <v>0</v>
      </c>
      <c r="F100" s="33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</row>
    <row r="101" spans="1:20" s="27" customFormat="1" ht="33" hidden="1" x14ac:dyDescent="0.25">
      <c r="A101" s="63" t="s">
        <v>102</v>
      </c>
      <c r="B101" s="58" t="s">
        <v>103</v>
      </c>
      <c r="C101" s="51">
        <v>310</v>
      </c>
      <c r="D101" s="33">
        <f t="shared" si="29"/>
        <v>0</v>
      </c>
      <c r="E101" s="33">
        <f t="shared" si="30"/>
        <v>0</v>
      </c>
      <c r="F101" s="33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</row>
    <row r="102" spans="1:20" s="27" customFormat="1" ht="16.5" hidden="1" x14ac:dyDescent="0.25">
      <c r="A102" s="63" t="s">
        <v>104</v>
      </c>
      <c r="B102" s="58" t="s">
        <v>105</v>
      </c>
      <c r="C102" s="51">
        <v>226</v>
      </c>
      <c r="D102" s="33">
        <f t="shared" si="29"/>
        <v>0</v>
      </c>
      <c r="E102" s="33">
        <f t="shared" si="30"/>
        <v>0</v>
      </c>
      <c r="F102" s="33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</row>
    <row r="103" spans="1:20" s="27" customFormat="1" ht="16.5" hidden="1" x14ac:dyDescent="0.25">
      <c r="A103" s="63" t="s">
        <v>104</v>
      </c>
      <c r="B103" s="58" t="s">
        <v>105</v>
      </c>
      <c r="C103" s="51">
        <v>310</v>
      </c>
      <c r="D103" s="33">
        <f t="shared" si="29"/>
        <v>0</v>
      </c>
      <c r="E103" s="33">
        <f t="shared" si="30"/>
        <v>0</v>
      </c>
      <c r="F103" s="33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</row>
    <row r="104" spans="1:20" s="27" customFormat="1" ht="16.5" hidden="1" x14ac:dyDescent="0.25">
      <c r="A104" s="63" t="s">
        <v>106</v>
      </c>
      <c r="B104" s="28" t="s">
        <v>107</v>
      </c>
      <c r="C104" s="51">
        <v>340</v>
      </c>
      <c r="D104" s="33">
        <f t="shared" si="29"/>
        <v>0</v>
      </c>
      <c r="E104" s="33">
        <f t="shared" si="30"/>
        <v>0</v>
      </c>
      <c r="F104" s="33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</row>
    <row r="105" spans="1:20" s="27" customFormat="1" ht="16.5" hidden="1" x14ac:dyDescent="0.25">
      <c r="A105" s="63" t="s">
        <v>108</v>
      </c>
      <c r="B105" s="58" t="s">
        <v>109</v>
      </c>
      <c r="C105" s="51">
        <v>226</v>
      </c>
      <c r="D105" s="33">
        <f t="shared" si="29"/>
        <v>0</v>
      </c>
      <c r="E105" s="33">
        <f t="shared" si="30"/>
        <v>0</v>
      </c>
      <c r="F105" s="33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</row>
    <row r="106" spans="1:20" s="27" customFormat="1" ht="16.5" hidden="1" x14ac:dyDescent="0.25">
      <c r="A106" s="63" t="s">
        <v>108</v>
      </c>
      <c r="B106" s="58" t="s">
        <v>109</v>
      </c>
      <c r="C106" s="51">
        <v>310</v>
      </c>
      <c r="D106" s="33">
        <f t="shared" si="29"/>
        <v>0</v>
      </c>
      <c r="E106" s="33">
        <f t="shared" si="30"/>
        <v>0</v>
      </c>
      <c r="F106" s="33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</row>
    <row r="107" spans="1:20" s="27" customFormat="1" ht="16.5" hidden="1" x14ac:dyDescent="0.25">
      <c r="A107" s="63" t="s">
        <v>110</v>
      </c>
      <c r="B107" s="58" t="s">
        <v>111</v>
      </c>
      <c r="C107" s="51">
        <v>226</v>
      </c>
      <c r="D107" s="33">
        <f t="shared" si="29"/>
        <v>0</v>
      </c>
      <c r="E107" s="33">
        <f t="shared" si="30"/>
        <v>0</v>
      </c>
      <c r="F107" s="33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</row>
    <row r="108" spans="1:20" s="27" customFormat="1" ht="16.5" hidden="1" x14ac:dyDescent="0.25">
      <c r="A108" s="63" t="s">
        <v>112</v>
      </c>
      <c r="B108" s="58" t="s">
        <v>113</v>
      </c>
      <c r="C108" s="51">
        <v>226</v>
      </c>
      <c r="D108" s="33">
        <f t="shared" si="29"/>
        <v>0</v>
      </c>
      <c r="E108" s="33">
        <f t="shared" si="30"/>
        <v>0</v>
      </c>
      <c r="F108" s="33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</row>
    <row r="109" spans="1:20" s="27" customFormat="1" ht="33" hidden="1" x14ac:dyDescent="0.25">
      <c r="A109" s="63" t="s">
        <v>114</v>
      </c>
      <c r="B109" s="58" t="s">
        <v>115</v>
      </c>
      <c r="C109" s="51">
        <v>225</v>
      </c>
      <c r="D109" s="33">
        <f t="shared" si="29"/>
        <v>0</v>
      </c>
      <c r="E109" s="33">
        <f t="shared" si="30"/>
        <v>0</v>
      </c>
      <c r="F109" s="33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</row>
    <row r="110" spans="1:20" s="27" customFormat="1" ht="16.5" x14ac:dyDescent="0.25">
      <c r="A110" s="63" t="s">
        <v>116</v>
      </c>
      <c r="B110" s="58" t="s">
        <v>117</v>
      </c>
      <c r="C110" s="51">
        <v>225</v>
      </c>
      <c r="D110" s="33">
        <f t="shared" si="29"/>
        <v>59400</v>
      </c>
      <c r="E110" s="33">
        <f t="shared" si="30"/>
        <v>0</v>
      </c>
      <c r="F110" s="33"/>
      <c r="G110" s="38">
        <v>59400</v>
      </c>
      <c r="H110" s="38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</row>
    <row r="111" spans="1:20" s="27" customFormat="1" ht="16.5" x14ac:dyDescent="0.25">
      <c r="A111" s="63" t="s">
        <v>118</v>
      </c>
      <c r="B111" s="58" t="s">
        <v>119</v>
      </c>
      <c r="C111" s="51">
        <v>226</v>
      </c>
      <c r="D111" s="33">
        <f t="shared" si="29"/>
        <v>30000</v>
      </c>
      <c r="E111" s="33">
        <f t="shared" si="30"/>
        <v>0</v>
      </c>
      <c r="F111" s="33"/>
      <c r="G111" s="38">
        <v>30000</v>
      </c>
      <c r="H111" s="38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</row>
    <row r="112" spans="1:20" s="27" customFormat="1" ht="16.5" x14ac:dyDescent="0.25">
      <c r="A112" s="63" t="s">
        <v>118</v>
      </c>
      <c r="B112" s="58" t="s">
        <v>119</v>
      </c>
      <c r="C112" s="51">
        <v>340</v>
      </c>
      <c r="D112" s="33">
        <f t="shared" si="29"/>
        <v>0</v>
      </c>
      <c r="E112" s="33">
        <f t="shared" si="30"/>
        <v>0</v>
      </c>
      <c r="F112" s="33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</row>
    <row r="113" spans="1:20" s="27" customFormat="1" ht="16.5" x14ac:dyDescent="0.25">
      <c r="A113" s="63" t="s">
        <v>120</v>
      </c>
      <c r="B113" s="58" t="s">
        <v>121</v>
      </c>
      <c r="C113" s="51">
        <v>225</v>
      </c>
      <c r="D113" s="33">
        <f t="shared" si="29"/>
        <v>0</v>
      </c>
      <c r="E113" s="33">
        <f t="shared" si="30"/>
        <v>0</v>
      </c>
      <c r="F113" s="33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</row>
    <row r="114" spans="1:20" s="27" customFormat="1" ht="16.5" x14ac:dyDescent="0.25">
      <c r="A114" s="63" t="s">
        <v>122</v>
      </c>
      <c r="B114" s="58" t="s">
        <v>123</v>
      </c>
      <c r="C114" s="51">
        <v>225</v>
      </c>
      <c r="D114" s="33">
        <f t="shared" si="29"/>
        <v>0</v>
      </c>
      <c r="E114" s="33">
        <f t="shared" si="30"/>
        <v>0</v>
      </c>
      <c r="F114" s="33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</row>
    <row r="115" spans="1:20" s="27" customFormat="1" ht="16.5" x14ac:dyDescent="0.25">
      <c r="A115" s="63" t="s">
        <v>122</v>
      </c>
      <c r="B115" s="58" t="s">
        <v>123</v>
      </c>
      <c r="C115" s="51">
        <v>310</v>
      </c>
      <c r="D115" s="33">
        <f t="shared" si="29"/>
        <v>0</v>
      </c>
      <c r="E115" s="33">
        <f t="shared" si="30"/>
        <v>0</v>
      </c>
      <c r="F115" s="33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</row>
    <row r="116" spans="1:20" s="27" customFormat="1" ht="16.5" x14ac:dyDescent="0.25">
      <c r="A116" s="63" t="s">
        <v>124</v>
      </c>
      <c r="B116" s="58" t="s">
        <v>125</v>
      </c>
      <c r="C116" s="51">
        <v>225</v>
      </c>
      <c r="D116" s="33">
        <f t="shared" si="29"/>
        <v>0</v>
      </c>
      <c r="E116" s="33">
        <f t="shared" si="30"/>
        <v>0</v>
      </c>
      <c r="F116" s="33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</row>
    <row r="117" spans="1:20" s="29" customFormat="1" ht="16.5" x14ac:dyDescent="0.25">
      <c r="A117" s="63" t="s">
        <v>126</v>
      </c>
      <c r="B117" s="28" t="s">
        <v>127</v>
      </c>
      <c r="C117" s="51">
        <v>226</v>
      </c>
      <c r="D117" s="33">
        <f t="shared" si="29"/>
        <v>0</v>
      </c>
      <c r="E117" s="33">
        <f t="shared" si="30"/>
        <v>0</v>
      </c>
      <c r="F117" s="33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</row>
    <row r="118" spans="1:20" s="18" customFormat="1" ht="17.25" x14ac:dyDescent="0.25">
      <c r="A118" s="61" t="s">
        <v>128</v>
      </c>
      <c r="B118" s="62" t="s">
        <v>129</v>
      </c>
      <c r="C118" s="49"/>
      <c r="D118" s="33">
        <f t="shared" si="29"/>
        <v>0</v>
      </c>
      <c r="E118" s="33">
        <f t="shared" si="30"/>
        <v>0</v>
      </c>
      <c r="F118" s="33"/>
      <c r="G118" s="34">
        <f t="shared" ref="G118:S118" si="31">SUM(G119:G122)</f>
        <v>0</v>
      </c>
      <c r="H118" s="34"/>
      <c r="I118" s="34">
        <f t="shared" si="31"/>
        <v>0</v>
      </c>
      <c r="J118" s="34"/>
      <c r="K118" s="34">
        <f t="shared" si="31"/>
        <v>0</v>
      </c>
      <c r="L118" s="34"/>
      <c r="M118" s="34">
        <f t="shared" si="31"/>
        <v>0</v>
      </c>
      <c r="N118" s="34"/>
      <c r="O118" s="34">
        <f t="shared" si="31"/>
        <v>0</v>
      </c>
      <c r="P118" s="34"/>
      <c r="Q118" s="34"/>
      <c r="R118" s="34"/>
      <c r="S118" s="34">
        <f t="shared" si="31"/>
        <v>0</v>
      </c>
      <c r="T118" s="34">
        <f t="shared" ref="T118" si="32">SUM(T119:T122)</f>
        <v>0</v>
      </c>
    </row>
    <row r="119" spans="1:20" s="27" customFormat="1" ht="16.5" x14ac:dyDescent="0.25">
      <c r="A119" s="63" t="s">
        <v>130</v>
      </c>
      <c r="B119" s="58" t="s">
        <v>131</v>
      </c>
      <c r="C119" s="51">
        <v>310</v>
      </c>
      <c r="D119" s="33">
        <f t="shared" si="29"/>
        <v>0</v>
      </c>
      <c r="E119" s="33">
        <f t="shared" si="30"/>
        <v>0</v>
      </c>
      <c r="F119" s="33"/>
      <c r="G119" s="21"/>
      <c r="H119" s="21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21"/>
      <c r="T119" s="21"/>
    </row>
    <row r="120" spans="1:20" s="27" customFormat="1" ht="33" x14ac:dyDescent="0.25">
      <c r="A120" s="63" t="s">
        <v>132</v>
      </c>
      <c r="B120" s="58" t="s">
        <v>133</v>
      </c>
      <c r="C120" s="51">
        <v>310</v>
      </c>
      <c r="D120" s="33">
        <f t="shared" si="29"/>
        <v>0</v>
      </c>
      <c r="E120" s="33">
        <f t="shared" si="30"/>
        <v>0</v>
      </c>
      <c r="F120" s="33"/>
      <c r="G120" s="21"/>
      <c r="H120" s="21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21"/>
      <c r="T120" s="21"/>
    </row>
    <row r="121" spans="1:20" s="27" customFormat="1" ht="16.5" x14ac:dyDescent="0.25">
      <c r="A121" s="63" t="s">
        <v>134</v>
      </c>
      <c r="B121" s="58" t="s">
        <v>135</v>
      </c>
      <c r="C121" s="51">
        <v>310</v>
      </c>
      <c r="D121" s="33">
        <f t="shared" si="29"/>
        <v>0</v>
      </c>
      <c r="E121" s="33">
        <f t="shared" si="30"/>
        <v>0</v>
      </c>
      <c r="F121" s="33"/>
      <c r="G121" s="21"/>
      <c r="H121" s="21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21"/>
      <c r="T121" s="21"/>
    </row>
    <row r="122" spans="1:20" s="27" customFormat="1" ht="16.5" x14ac:dyDescent="0.25">
      <c r="A122" s="63" t="s">
        <v>136</v>
      </c>
      <c r="B122" s="58" t="s">
        <v>137</v>
      </c>
      <c r="C122" s="51">
        <v>226</v>
      </c>
      <c r="D122" s="33">
        <f t="shared" si="29"/>
        <v>0</v>
      </c>
      <c r="E122" s="33">
        <f t="shared" si="30"/>
        <v>0</v>
      </c>
      <c r="F122" s="33"/>
      <c r="G122" s="21"/>
      <c r="H122" s="21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21"/>
      <c r="T122" s="21"/>
    </row>
    <row r="123" spans="1:20" s="27" customFormat="1" ht="16.5" x14ac:dyDescent="0.25">
      <c r="A123" s="63"/>
      <c r="B123" s="58"/>
      <c r="C123" s="51"/>
      <c r="D123" s="33">
        <f t="shared" si="29"/>
        <v>0</v>
      </c>
      <c r="E123" s="33">
        <f t="shared" si="30"/>
        <v>0</v>
      </c>
      <c r="F123" s="33"/>
      <c r="G123" s="21"/>
      <c r="H123" s="21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21"/>
      <c r="T123" s="21"/>
    </row>
    <row r="124" spans="1:20" s="27" customFormat="1" ht="16.5" x14ac:dyDescent="0.25">
      <c r="A124" s="63"/>
      <c r="B124" s="58"/>
      <c r="C124" s="51"/>
      <c r="D124" s="33"/>
      <c r="E124" s="33"/>
      <c r="F124" s="33"/>
      <c r="G124" s="21"/>
      <c r="H124" s="21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21"/>
      <c r="T124" s="21"/>
    </row>
    <row r="125" spans="1:20" s="27" customFormat="1" ht="16.5" x14ac:dyDescent="0.25">
      <c r="A125" s="63"/>
      <c r="B125" s="58"/>
      <c r="C125" s="51"/>
      <c r="D125" s="33"/>
      <c r="E125" s="33"/>
      <c r="F125" s="33"/>
      <c r="G125" s="21"/>
      <c r="H125" s="21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21"/>
      <c r="T125" s="21"/>
    </row>
    <row r="126" spans="1:20" s="27" customFormat="1" ht="16.5" x14ac:dyDescent="0.25">
      <c r="A126" s="63"/>
      <c r="B126" s="58"/>
      <c r="C126" s="51"/>
      <c r="D126" s="33">
        <f t="shared" si="29"/>
        <v>0</v>
      </c>
      <c r="E126" s="33">
        <f t="shared" si="30"/>
        <v>0</v>
      </c>
      <c r="F126" s="33"/>
      <c r="G126" s="21"/>
      <c r="H126" s="21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21"/>
      <c r="T126" s="21"/>
    </row>
    <row r="127" spans="1:20" s="27" customFormat="1" ht="16.5" x14ac:dyDescent="0.25">
      <c r="A127" s="63"/>
      <c r="B127" s="58"/>
      <c r="C127" s="51"/>
      <c r="D127" s="33">
        <f t="shared" si="29"/>
        <v>0</v>
      </c>
      <c r="E127" s="33">
        <f t="shared" si="30"/>
        <v>0</v>
      </c>
      <c r="F127" s="33"/>
      <c r="G127" s="21"/>
      <c r="H127" s="21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21"/>
      <c r="T127" s="21"/>
    </row>
    <row r="128" spans="1:20" s="27" customFormat="1" ht="16.5" x14ac:dyDescent="0.25">
      <c r="A128" s="63"/>
      <c r="B128" s="58"/>
      <c r="C128" s="51"/>
      <c r="D128" s="33">
        <f t="shared" si="29"/>
        <v>0</v>
      </c>
      <c r="E128" s="33">
        <f t="shared" si="30"/>
        <v>0</v>
      </c>
      <c r="F128" s="33"/>
      <c r="G128" s="21"/>
      <c r="H128" s="21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21"/>
      <c r="T128" s="21"/>
    </row>
    <row r="129" spans="1:20" s="18" customFormat="1" ht="17.25" x14ac:dyDescent="0.25">
      <c r="A129" s="65" t="s">
        <v>138</v>
      </c>
      <c r="B129" s="66" t="s">
        <v>139</v>
      </c>
      <c r="C129" s="67"/>
      <c r="D129" s="33">
        <f t="shared" si="29"/>
        <v>0</v>
      </c>
      <c r="E129" s="33">
        <f t="shared" si="30"/>
        <v>0</v>
      </c>
      <c r="F129" s="33"/>
      <c r="G129" s="34">
        <f t="shared" ref="G129:T129" si="33">SUM(G130:G130)</f>
        <v>0</v>
      </c>
      <c r="H129" s="34"/>
      <c r="I129" s="34">
        <f t="shared" si="33"/>
        <v>0</v>
      </c>
      <c r="J129" s="34"/>
      <c r="K129" s="34">
        <f t="shared" si="33"/>
        <v>0</v>
      </c>
      <c r="L129" s="34"/>
      <c r="M129" s="34">
        <f t="shared" si="33"/>
        <v>0</v>
      </c>
      <c r="N129" s="34"/>
      <c r="O129" s="34">
        <f t="shared" si="33"/>
        <v>0</v>
      </c>
      <c r="P129" s="34"/>
      <c r="Q129" s="34"/>
      <c r="R129" s="34"/>
      <c r="S129" s="34">
        <f t="shared" si="33"/>
        <v>0</v>
      </c>
      <c r="T129" s="34">
        <f t="shared" si="33"/>
        <v>0</v>
      </c>
    </row>
    <row r="130" spans="1:20" s="29" customFormat="1" ht="16.5" x14ac:dyDescent="0.25">
      <c r="A130" s="68"/>
      <c r="B130" s="64" t="s">
        <v>140</v>
      </c>
      <c r="C130" s="69">
        <v>226</v>
      </c>
      <c r="D130" s="33">
        <f t="shared" si="29"/>
        <v>0</v>
      </c>
      <c r="E130" s="33">
        <f t="shared" si="30"/>
        <v>0</v>
      </c>
      <c r="F130" s="33"/>
      <c r="G130" s="21"/>
      <c r="H130" s="21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21"/>
      <c r="T130" s="21"/>
    </row>
    <row r="131" spans="1:20" s="29" customFormat="1" ht="16.5" x14ac:dyDescent="0.25">
      <c r="A131" s="68"/>
      <c r="B131" s="64"/>
      <c r="C131" s="69"/>
      <c r="D131" s="33"/>
      <c r="E131" s="33"/>
      <c r="F131" s="33"/>
      <c r="G131" s="21"/>
      <c r="H131" s="21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21"/>
      <c r="T131" s="21"/>
    </row>
    <row r="132" spans="1:20" s="29" customFormat="1" ht="16.5" x14ac:dyDescent="0.25">
      <c r="A132" s="68"/>
      <c r="B132" s="64"/>
      <c r="C132" s="69"/>
      <c r="D132" s="33"/>
      <c r="E132" s="33"/>
      <c r="F132" s="33"/>
      <c r="G132" s="21"/>
      <c r="H132" s="21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21"/>
      <c r="T132" s="21"/>
    </row>
    <row r="133" spans="1:20" s="29" customFormat="1" ht="16.5" x14ac:dyDescent="0.25">
      <c r="A133" s="68"/>
      <c r="B133" s="64"/>
      <c r="C133" s="69"/>
      <c r="D133" s="33"/>
      <c r="E133" s="33"/>
      <c r="F133" s="33"/>
      <c r="G133" s="21"/>
      <c r="H133" s="21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21"/>
      <c r="T133" s="21"/>
    </row>
    <row r="134" spans="1:20" s="29" customFormat="1" ht="16.5" x14ac:dyDescent="0.25">
      <c r="A134" s="68"/>
      <c r="B134" s="64"/>
      <c r="C134" s="69"/>
      <c r="D134" s="33"/>
      <c r="E134" s="33"/>
      <c r="F134" s="33"/>
      <c r="G134" s="21"/>
      <c r="H134" s="21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21"/>
      <c r="T134" s="21"/>
    </row>
    <row r="135" spans="1:20" s="18" customFormat="1" ht="17.25" x14ac:dyDescent="0.25">
      <c r="A135" s="61" t="s">
        <v>141</v>
      </c>
      <c r="B135" s="62" t="s">
        <v>142</v>
      </c>
      <c r="C135" s="49"/>
      <c r="D135" s="33">
        <f t="shared" si="29"/>
        <v>0</v>
      </c>
      <c r="E135" s="33">
        <f t="shared" si="30"/>
        <v>0</v>
      </c>
      <c r="F135" s="33"/>
      <c r="G135" s="34">
        <f t="shared" ref="G135:S135" si="34">SUM(G136:G164)</f>
        <v>0</v>
      </c>
      <c r="H135" s="34"/>
      <c r="I135" s="34">
        <f t="shared" si="34"/>
        <v>0</v>
      </c>
      <c r="J135" s="34"/>
      <c r="K135" s="34">
        <f t="shared" si="34"/>
        <v>0</v>
      </c>
      <c r="L135" s="34"/>
      <c r="M135" s="34">
        <f t="shared" si="34"/>
        <v>0</v>
      </c>
      <c r="N135" s="34"/>
      <c r="O135" s="34">
        <f t="shared" si="34"/>
        <v>0</v>
      </c>
      <c r="P135" s="34"/>
      <c r="Q135" s="34"/>
      <c r="R135" s="34"/>
      <c r="S135" s="34">
        <f t="shared" si="34"/>
        <v>0</v>
      </c>
      <c r="T135" s="34">
        <f t="shared" ref="T135" si="35">SUM(T136:T164)</f>
        <v>0</v>
      </c>
    </row>
    <row r="136" spans="1:20" s="29" customFormat="1" ht="16.5" x14ac:dyDescent="0.25">
      <c r="A136" s="63" t="s">
        <v>143</v>
      </c>
      <c r="B136" s="58" t="s">
        <v>144</v>
      </c>
      <c r="C136" s="51">
        <v>226</v>
      </c>
      <c r="D136" s="33">
        <f t="shared" si="29"/>
        <v>0</v>
      </c>
      <c r="E136" s="33">
        <f t="shared" si="30"/>
        <v>0</v>
      </c>
      <c r="F136" s="33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</row>
    <row r="137" spans="1:20" s="6" customFormat="1" ht="16.5" x14ac:dyDescent="0.25">
      <c r="A137" s="63" t="s">
        <v>143</v>
      </c>
      <c r="B137" s="58" t="s">
        <v>144</v>
      </c>
      <c r="C137" s="51">
        <v>310</v>
      </c>
      <c r="D137" s="33">
        <f t="shared" si="29"/>
        <v>0</v>
      </c>
      <c r="E137" s="33">
        <f t="shared" si="30"/>
        <v>0</v>
      </c>
      <c r="F137" s="33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</row>
    <row r="138" spans="1:20" s="6" customFormat="1" ht="16.5" x14ac:dyDescent="0.25">
      <c r="A138" s="63" t="s">
        <v>145</v>
      </c>
      <c r="B138" s="58" t="s">
        <v>146</v>
      </c>
      <c r="C138" s="51">
        <v>226</v>
      </c>
      <c r="D138" s="33">
        <f t="shared" si="29"/>
        <v>0</v>
      </c>
      <c r="E138" s="33">
        <f t="shared" si="30"/>
        <v>0</v>
      </c>
      <c r="F138" s="33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</row>
    <row r="139" spans="1:20" s="6" customFormat="1" ht="16.5" x14ac:dyDescent="0.25">
      <c r="A139" s="63" t="s">
        <v>145</v>
      </c>
      <c r="B139" s="58" t="s">
        <v>146</v>
      </c>
      <c r="C139" s="51">
        <v>310</v>
      </c>
      <c r="D139" s="33">
        <f t="shared" si="29"/>
        <v>0</v>
      </c>
      <c r="E139" s="33">
        <f t="shared" si="30"/>
        <v>0</v>
      </c>
      <c r="F139" s="33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</row>
    <row r="140" spans="1:20" s="6" customFormat="1" ht="16.5" x14ac:dyDescent="0.25">
      <c r="A140" s="63" t="s">
        <v>147</v>
      </c>
      <c r="B140" s="58" t="s">
        <v>148</v>
      </c>
      <c r="C140" s="51">
        <v>310</v>
      </c>
      <c r="D140" s="33">
        <f t="shared" si="29"/>
        <v>0</v>
      </c>
      <c r="E140" s="33">
        <f t="shared" si="30"/>
        <v>0</v>
      </c>
      <c r="F140" s="33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</row>
    <row r="141" spans="1:20" s="6" customFormat="1" ht="33" x14ac:dyDescent="0.25">
      <c r="A141" s="63" t="s">
        <v>149</v>
      </c>
      <c r="B141" s="58" t="s">
        <v>150</v>
      </c>
      <c r="C141" s="51">
        <v>310</v>
      </c>
      <c r="D141" s="33">
        <f t="shared" si="29"/>
        <v>0</v>
      </c>
      <c r="E141" s="33">
        <f t="shared" si="30"/>
        <v>0</v>
      </c>
      <c r="F141" s="33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</row>
    <row r="142" spans="1:20" s="6" customFormat="1" ht="33" x14ac:dyDescent="0.25">
      <c r="A142" s="63" t="s">
        <v>151</v>
      </c>
      <c r="B142" s="58" t="s">
        <v>152</v>
      </c>
      <c r="C142" s="51">
        <v>310</v>
      </c>
      <c r="D142" s="33">
        <f t="shared" si="29"/>
        <v>0</v>
      </c>
      <c r="E142" s="33">
        <f t="shared" si="30"/>
        <v>0</v>
      </c>
      <c r="F142" s="33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</row>
    <row r="143" spans="1:20" s="6" customFormat="1" ht="33" x14ac:dyDescent="0.25">
      <c r="A143" s="63" t="s">
        <v>153</v>
      </c>
      <c r="B143" s="28" t="s">
        <v>154</v>
      </c>
      <c r="C143" s="51">
        <v>226</v>
      </c>
      <c r="D143" s="33">
        <f t="shared" si="29"/>
        <v>0</v>
      </c>
      <c r="E143" s="33">
        <f t="shared" si="30"/>
        <v>0</v>
      </c>
      <c r="F143" s="33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</row>
    <row r="144" spans="1:20" s="6" customFormat="1" ht="16.5" x14ac:dyDescent="0.25">
      <c r="A144" s="63" t="s">
        <v>155</v>
      </c>
      <c r="B144" s="28" t="s">
        <v>156</v>
      </c>
      <c r="C144" s="51">
        <v>226</v>
      </c>
      <c r="D144" s="33">
        <f t="shared" si="29"/>
        <v>0</v>
      </c>
      <c r="E144" s="33">
        <f t="shared" si="30"/>
        <v>0</v>
      </c>
      <c r="F144" s="33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</row>
    <row r="145" spans="1:20" s="6" customFormat="1" ht="16.5" x14ac:dyDescent="0.25">
      <c r="A145" s="63" t="s">
        <v>155</v>
      </c>
      <c r="B145" s="28" t="s">
        <v>157</v>
      </c>
      <c r="C145" s="51">
        <v>310</v>
      </c>
      <c r="D145" s="33">
        <f t="shared" si="29"/>
        <v>0</v>
      </c>
      <c r="E145" s="33">
        <f t="shared" si="30"/>
        <v>0</v>
      </c>
      <c r="F145" s="33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</row>
    <row r="146" spans="1:20" s="6" customFormat="1" ht="16.5" x14ac:dyDescent="0.25">
      <c r="A146" s="63" t="s">
        <v>155</v>
      </c>
      <c r="B146" s="28" t="s">
        <v>157</v>
      </c>
      <c r="C146" s="51">
        <v>340</v>
      </c>
      <c r="D146" s="33">
        <f t="shared" si="29"/>
        <v>0</v>
      </c>
      <c r="E146" s="33">
        <f t="shared" si="30"/>
        <v>0</v>
      </c>
      <c r="F146" s="33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</row>
    <row r="147" spans="1:20" s="6" customFormat="1" ht="16.5" x14ac:dyDescent="0.25">
      <c r="A147" s="63" t="s">
        <v>158</v>
      </c>
      <c r="B147" s="28" t="s">
        <v>159</v>
      </c>
      <c r="C147" s="51">
        <v>226</v>
      </c>
      <c r="D147" s="33">
        <f t="shared" si="29"/>
        <v>0</v>
      </c>
      <c r="E147" s="33">
        <f t="shared" si="30"/>
        <v>0</v>
      </c>
      <c r="F147" s="33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</row>
    <row r="148" spans="1:20" s="6" customFormat="1" ht="49.5" x14ac:dyDescent="0.25">
      <c r="A148" s="63" t="s">
        <v>160</v>
      </c>
      <c r="B148" s="28" t="s">
        <v>161</v>
      </c>
      <c r="C148" s="51">
        <v>226</v>
      </c>
      <c r="D148" s="33">
        <f t="shared" si="29"/>
        <v>0</v>
      </c>
      <c r="E148" s="33">
        <f t="shared" si="30"/>
        <v>0</v>
      </c>
      <c r="F148" s="33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</row>
    <row r="149" spans="1:20" s="6" customFormat="1" ht="33" x14ac:dyDescent="0.25">
      <c r="A149" s="63" t="s">
        <v>162</v>
      </c>
      <c r="B149" s="28" t="s">
        <v>163</v>
      </c>
      <c r="C149" s="51">
        <v>226</v>
      </c>
      <c r="D149" s="33">
        <f t="shared" si="29"/>
        <v>0</v>
      </c>
      <c r="E149" s="33">
        <f t="shared" si="30"/>
        <v>0</v>
      </c>
      <c r="F149" s="33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</row>
    <row r="150" spans="1:20" s="6" customFormat="1" ht="16.5" x14ac:dyDescent="0.25">
      <c r="A150" s="63" t="s">
        <v>164</v>
      </c>
      <c r="B150" s="28" t="s">
        <v>165</v>
      </c>
      <c r="C150" s="51">
        <v>310</v>
      </c>
      <c r="D150" s="33">
        <f t="shared" si="29"/>
        <v>0</v>
      </c>
      <c r="E150" s="33">
        <f t="shared" si="30"/>
        <v>0</v>
      </c>
      <c r="F150" s="33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</row>
    <row r="151" spans="1:20" s="6" customFormat="1" ht="33" x14ac:dyDescent="0.25">
      <c r="A151" s="63" t="s">
        <v>166</v>
      </c>
      <c r="B151" s="28" t="s">
        <v>167</v>
      </c>
      <c r="C151" s="51">
        <v>226</v>
      </c>
      <c r="D151" s="33">
        <f t="shared" si="29"/>
        <v>0</v>
      </c>
      <c r="E151" s="33">
        <f t="shared" si="30"/>
        <v>0</v>
      </c>
      <c r="F151" s="33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</row>
    <row r="152" spans="1:20" s="6" customFormat="1" ht="33" x14ac:dyDescent="0.25">
      <c r="A152" s="63" t="s">
        <v>166</v>
      </c>
      <c r="B152" s="28" t="s">
        <v>167</v>
      </c>
      <c r="C152" s="51">
        <v>310</v>
      </c>
      <c r="D152" s="33">
        <f t="shared" si="29"/>
        <v>0</v>
      </c>
      <c r="E152" s="33">
        <f t="shared" si="30"/>
        <v>0</v>
      </c>
      <c r="F152" s="33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</row>
    <row r="153" spans="1:20" s="6" customFormat="1" ht="33" x14ac:dyDescent="0.25">
      <c r="A153" s="63" t="s">
        <v>168</v>
      </c>
      <c r="B153" s="28" t="s">
        <v>169</v>
      </c>
      <c r="C153" s="51">
        <v>226</v>
      </c>
      <c r="D153" s="33">
        <f t="shared" si="29"/>
        <v>0</v>
      </c>
      <c r="E153" s="33">
        <f t="shared" si="30"/>
        <v>0</v>
      </c>
      <c r="F153" s="33"/>
      <c r="G153" s="38">
        <v>0</v>
      </c>
      <c r="H153" s="38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</row>
    <row r="154" spans="1:20" s="6" customFormat="1" ht="33" x14ac:dyDescent="0.25">
      <c r="A154" s="63" t="s">
        <v>168</v>
      </c>
      <c r="B154" s="28" t="s">
        <v>169</v>
      </c>
      <c r="C154" s="51">
        <v>310</v>
      </c>
      <c r="D154" s="33">
        <f t="shared" si="29"/>
        <v>0</v>
      </c>
      <c r="E154" s="33">
        <f t="shared" si="30"/>
        <v>0</v>
      </c>
      <c r="F154" s="33"/>
      <c r="G154" s="38">
        <v>0</v>
      </c>
      <c r="H154" s="38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</row>
    <row r="155" spans="1:20" s="6" customFormat="1" ht="16.5" x14ac:dyDescent="0.25">
      <c r="A155" s="63" t="s">
        <v>170</v>
      </c>
      <c r="B155" s="28" t="s">
        <v>171</v>
      </c>
      <c r="C155" s="51">
        <v>226</v>
      </c>
      <c r="D155" s="33">
        <f t="shared" si="29"/>
        <v>0</v>
      </c>
      <c r="E155" s="33">
        <f t="shared" si="30"/>
        <v>0</v>
      </c>
      <c r="F155" s="33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</row>
    <row r="156" spans="1:20" s="6" customFormat="1" ht="16.5" x14ac:dyDescent="0.25">
      <c r="A156" s="63" t="s">
        <v>170</v>
      </c>
      <c r="B156" s="28" t="s">
        <v>171</v>
      </c>
      <c r="C156" s="51">
        <v>310</v>
      </c>
      <c r="D156" s="33">
        <f t="shared" si="29"/>
        <v>0</v>
      </c>
      <c r="E156" s="33">
        <f t="shared" si="30"/>
        <v>0</v>
      </c>
      <c r="F156" s="33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</row>
    <row r="157" spans="1:20" s="6" customFormat="1" ht="16.5" x14ac:dyDescent="0.25">
      <c r="A157" s="63" t="s">
        <v>172</v>
      </c>
      <c r="B157" s="28" t="s">
        <v>173</v>
      </c>
      <c r="C157" s="51">
        <v>226</v>
      </c>
      <c r="D157" s="33">
        <f t="shared" si="29"/>
        <v>0</v>
      </c>
      <c r="E157" s="33">
        <f t="shared" si="30"/>
        <v>0</v>
      </c>
      <c r="F157" s="33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</row>
    <row r="158" spans="1:20" s="6" customFormat="1" ht="33" x14ac:dyDescent="0.25">
      <c r="A158" s="63" t="s">
        <v>172</v>
      </c>
      <c r="B158" s="28" t="s">
        <v>174</v>
      </c>
      <c r="C158" s="51">
        <v>310</v>
      </c>
      <c r="D158" s="33">
        <f t="shared" si="29"/>
        <v>0</v>
      </c>
      <c r="E158" s="33">
        <f t="shared" si="30"/>
        <v>0</v>
      </c>
      <c r="F158" s="33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</row>
    <row r="159" spans="1:20" s="6" customFormat="1" ht="16.5" x14ac:dyDescent="0.25">
      <c r="A159" s="63" t="s">
        <v>175</v>
      </c>
      <c r="B159" s="28" t="s">
        <v>176</v>
      </c>
      <c r="C159" s="51">
        <v>226</v>
      </c>
      <c r="D159" s="33">
        <f t="shared" si="29"/>
        <v>0</v>
      </c>
      <c r="E159" s="33">
        <f t="shared" si="30"/>
        <v>0</v>
      </c>
      <c r="F159" s="33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</row>
    <row r="160" spans="1:20" s="6" customFormat="1" ht="16.5" x14ac:dyDescent="0.25">
      <c r="A160" s="63" t="s">
        <v>177</v>
      </c>
      <c r="B160" s="28" t="s">
        <v>178</v>
      </c>
      <c r="C160" s="51">
        <v>310</v>
      </c>
      <c r="D160" s="33">
        <f t="shared" si="29"/>
        <v>0</v>
      </c>
      <c r="E160" s="33">
        <f t="shared" si="30"/>
        <v>0</v>
      </c>
      <c r="F160" s="33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</row>
    <row r="161" spans="1:20" s="6" customFormat="1" ht="33" x14ac:dyDescent="0.25">
      <c r="A161" s="63" t="s">
        <v>179</v>
      </c>
      <c r="B161" s="28" t="s">
        <v>180</v>
      </c>
      <c r="C161" s="51">
        <v>226</v>
      </c>
      <c r="D161" s="33">
        <f t="shared" si="29"/>
        <v>0</v>
      </c>
      <c r="E161" s="33">
        <f t="shared" si="30"/>
        <v>0</v>
      </c>
      <c r="F161" s="33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</row>
    <row r="162" spans="1:20" s="6" customFormat="1" ht="16.5" x14ac:dyDescent="0.25">
      <c r="A162" s="63" t="s">
        <v>181</v>
      </c>
      <c r="B162" s="28" t="s">
        <v>182</v>
      </c>
      <c r="C162" s="51">
        <v>226</v>
      </c>
      <c r="D162" s="33">
        <f t="shared" si="29"/>
        <v>0</v>
      </c>
      <c r="E162" s="33">
        <f t="shared" si="30"/>
        <v>0</v>
      </c>
      <c r="F162" s="33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</row>
    <row r="163" spans="1:20" s="6" customFormat="1" ht="16.5" x14ac:dyDescent="0.25">
      <c r="A163" s="63" t="s">
        <v>183</v>
      </c>
      <c r="B163" s="28" t="s">
        <v>184</v>
      </c>
      <c r="C163" s="51">
        <v>310</v>
      </c>
      <c r="D163" s="33">
        <f t="shared" ref="D163:D226" si="36">SUM(G163+I163+K163+M163+O163+Q163+S163)</f>
        <v>0</v>
      </c>
      <c r="E163" s="33">
        <f t="shared" ref="E163:E226" si="37">SUM(H163+J163+L163+N163+P163+R163+T163)</f>
        <v>0</v>
      </c>
      <c r="F163" s="33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</row>
    <row r="164" spans="1:20" s="6" customFormat="1" ht="16.5" x14ac:dyDescent="0.25">
      <c r="A164" s="63" t="s">
        <v>185</v>
      </c>
      <c r="B164" s="28" t="s">
        <v>186</v>
      </c>
      <c r="C164" s="51">
        <v>310</v>
      </c>
      <c r="D164" s="33">
        <f t="shared" si="36"/>
        <v>0</v>
      </c>
      <c r="E164" s="33">
        <f t="shared" si="37"/>
        <v>0</v>
      </c>
      <c r="F164" s="33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</row>
    <row r="165" spans="1:20" s="20" customFormat="1" ht="34.5" x14ac:dyDescent="0.25">
      <c r="A165" s="59" t="s">
        <v>29</v>
      </c>
      <c r="B165" s="48" t="s">
        <v>44</v>
      </c>
      <c r="C165" s="54"/>
      <c r="D165" s="33">
        <f t="shared" si="36"/>
        <v>0</v>
      </c>
      <c r="E165" s="33">
        <f t="shared" si="37"/>
        <v>0</v>
      </c>
      <c r="F165" s="33"/>
      <c r="G165" s="25">
        <f t="shared" ref="G165:T165" si="38">SUM(G166)</f>
        <v>0</v>
      </c>
      <c r="H165" s="25"/>
      <c r="I165" s="25">
        <f t="shared" si="38"/>
        <v>0</v>
      </c>
      <c r="J165" s="25"/>
      <c r="K165" s="25">
        <f t="shared" si="38"/>
        <v>0</v>
      </c>
      <c r="L165" s="25"/>
      <c r="M165" s="25">
        <f t="shared" si="38"/>
        <v>0</v>
      </c>
      <c r="N165" s="25"/>
      <c r="O165" s="25">
        <f t="shared" si="38"/>
        <v>0</v>
      </c>
      <c r="P165" s="25"/>
      <c r="Q165" s="25"/>
      <c r="R165" s="25"/>
      <c r="S165" s="25">
        <f t="shared" si="38"/>
        <v>0</v>
      </c>
      <c r="T165" s="25">
        <f t="shared" si="38"/>
        <v>0</v>
      </c>
    </row>
    <row r="166" spans="1:20" s="22" customFormat="1" ht="33" x14ac:dyDescent="0.25">
      <c r="A166" s="52" t="s">
        <v>187</v>
      </c>
      <c r="B166" s="28" t="s">
        <v>188</v>
      </c>
      <c r="C166" s="55">
        <v>225</v>
      </c>
      <c r="D166" s="33">
        <f t="shared" si="36"/>
        <v>0</v>
      </c>
      <c r="E166" s="33">
        <f t="shared" si="37"/>
        <v>0</v>
      </c>
      <c r="F166" s="33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</row>
    <row r="167" spans="1:20" s="22" customFormat="1" ht="16.5" x14ac:dyDescent="0.25">
      <c r="A167" s="52"/>
      <c r="B167" s="28"/>
      <c r="C167" s="55"/>
      <c r="D167" s="33">
        <f t="shared" si="36"/>
        <v>0</v>
      </c>
      <c r="E167" s="33">
        <f t="shared" si="37"/>
        <v>0</v>
      </c>
      <c r="F167" s="33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</row>
    <row r="168" spans="1:20" s="30" customFormat="1" ht="51.75" x14ac:dyDescent="0.25">
      <c r="A168" s="53" t="s">
        <v>31</v>
      </c>
      <c r="B168" s="48" t="s">
        <v>189</v>
      </c>
      <c r="C168" s="70"/>
      <c r="D168" s="33">
        <f t="shared" si="36"/>
        <v>448242</v>
      </c>
      <c r="E168" s="33">
        <f t="shared" si="37"/>
        <v>0</v>
      </c>
      <c r="F168" s="33"/>
      <c r="G168" s="25">
        <f t="shared" ref="G168:S168" si="39">SUM(G169:G173)</f>
        <v>448242</v>
      </c>
      <c r="H168" s="25"/>
      <c r="I168" s="25">
        <f t="shared" si="39"/>
        <v>0</v>
      </c>
      <c r="J168" s="25"/>
      <c r="K168" s="23">
        <f t="shared" si="39"/>
        <v>0</v>
      </c>
      <c r="L168" s="23"/>
      <c r="M168" s="23">
        <f t="shared" si="39"/>
        <v>0</v>
      </c>
      <c r="N168" s="23"/>
      <c r="O168" s="23">
        <f t="shared" si="39"/>
        <v>0</v>
      </c>
      <c r="P168" s="23"/>
      <c r="Q168" s="23"/>
      <c r="R168" s="23"/>
      <c r="S168" s="23">
        <f t="shared" si="39"/>
        <v>0</v>
      </c>
      <c r="T168" s="23">
        <f t="shared" ref="T168" si="40">SUM(T169:T173)</f>
        <v>0</v>
      </c>
    </row>
    <row r="169" spans="1:20" s="22" customFormat="1" ht="33" hidden="1" x14ac:dyDescent="0.25">
      <c r="A169" s="52" t="s">
        <v>190</v>
      </c>
      <c r="B169" s="28" t="s">
        <v>191</v>
      </c>
      <c r="C169" s="55"/>
      <c r="D169" s="33">
        <f t="shared" si="36"/>
        <v>0</v>
      </c>
      <c r="E169" s="33">
        <f t="shared" si="37"/>
        <v>0</v>
      </c>
      <c r="F169" s="33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</row>
    <row r="170" spans="1:20" s="22" customFormat="1" ht="33" x14ac:dyDescent="0.25">
      <c r="A170" s="52" t="s">
        <v>192</v>
      </c>
      <c r="B170" s="28" t="s">
        <v>291</v>
      </c>
      <c r="C170" s="55">
        <v>226</v>
      </c>
      <c r="D170" s="33">
        <f t="shared" si="36"/>
        <v>189000</v>
      </c>
      <c r="E170" s="33">
        <f t="shared" si="37"/>
        <v>0</v>
      </c>
      <c r="F170" s="33"/>
      <c r="G170" s="38">
        <v>189000</v>
      </c>
      <c r="H170" s="38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</row>
    <row r="171" spans="1:20" s="22" customFormat="1" ht="33" x14ac:dyDescent="0.25">
      <c r="A171" s="52" t="s">
        <v>192</v>
      </c>
      <c r="B171" s="28" t="s">
        <v>291</v>
      </c>
      <c r="C171" s="55">
        <v>310</v>
      </c>
      <c r="D171" s="33">
        <f t="shared" si="36"/>
        <v>236242</v>
      </c>
      <c r="E171" s="33">
        <f t="shared" si="37"/>
        <v>0</v>
      </c>
      <c r="F171" s="33"/>
      <c r="G171" s="38">
        <v>236242</v>
      </c>
      <c r="H171" s="38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</row>
    <row r="172" spans="1:20" s="22" customFormat="1" ht="33" x14ac:dyDescent="0.25">
      <c r="A172" s="52" t="s">
        <v>192</v>
      </c>
      <c r="B172" s="28" t="s">
        <v>291</v>
      </c>
      <c r="C172" s="55">
        <v>340</v>
      </c>
      <c r="D172" s="33">
        <f t="shared" si="36"/>
        <v>23000</v>
      </c>
      <c r="E172" s="33">
        <f t="shared" si="37"/>
        <v>0</v>
      </c>
      <c r="F172" s="33"/>
      <c r="G172" s="38">
        <v>23000</v>
      </c>
      <c r="H172" s="38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</row>
    <row r="173" spans="1:20" s="22" customFormat="1" ht="33" hidden="1" x14ac:dyDescent="0.25">
      <c r="A173" s="52" t="s">
        <v>194</v>
      </c>
      <c r="B173" s="28" t="s">
        <v>195</v>
      </c>
      <c r="C173" s="55"/>
      <c r="D173" s="33">
        <f t="shared" si="36"/>
        <v>0</v>
      </c>
      <c r="E173" s="33">
        <f t="shared" si="37"/>
        <v>0</v>
      </c>
      <c r="F173" s="33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</row>
    <row r="174" spans="1:20" s="36" customFormat="1" ht="34.5" hidden="1" x14ac:dyDescent="0.25">
      <c r="A174" s="53" t="s">
        <v>33</v>
      </c>
      <c r="B174" s="48" t="s">
        <v>34</v>
      </c>
      <c r="C174" s="71"/>
      <c r="D174" s="33">
        <f t="shared" si="36"/>
        <v>0</v>
      </c>
      <c r="E174" s="33">
        <f t="shared" si="37"/>
        <v>0</v>
      </c>
      <c r="F174" s="33"/>
      <c r="G174" s="25">
        <f t="shared" ref="G174:S174" si="41">SUM(G175:G179)</f>
        <v>0</v>
      </c>
      <c r="H174" s="25"/>
      <c r="I174" s="25">
        <f t="shared" si="41"/>
        <v>0</v>
      </c>
      <c r="J174" s="25"/>
      <c r="K174" s="25">
        <f t="shared" si="41"/>
        <v>0</v>
      </c>
      <c r="L174" s="25"/>
      <c r="M174" s="25">
        <f t="shared" si="41"/>
        <v>0</v>
      </c>
      <c r="N174" s="25"/>
      <c r="O174" s="25">
        <f t="shared" si="41"/>
        <v>0</v>
      </c>
      <c r="P174" s="25"/>
      <c r="Q174" s="25"/>
      <c r="R174" s="25"/>
      <c r="S174" s="25">
        <f t="shared" si="41"/>
        <v>0</v>
      </c>
      <c r="T174" s="25">
        <f t="shared" ref="T174" si="42">SUM(T175:T179)</f>
        <v>0</v>
      </c>
    </row>
    <row r="175" spans="1:20" s="22" customFormat="1" ht="16.5" hidden="1" x14ac:dyDescent="0.25">
      <c r="A175" s="52" t="s">
        <v>196</v>
      </c>
      <c r="B175" s="28" t="s">
        <v>197</v>
      </c>
      <c r="C175" s="55"/>
      <c r="D175" s="33">
        <f t="shared" si="36"/>
        <v>0</v>
      </c>
      <c r="E175" s="33">
        <f t="shared" si="37"/>
        <v>0</v>
      </c>
      <c r="F175" s="33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</row>
    <row r="176" spans="1:20" s="22" customFormat="1" ht="16.5" hidden="1" x14ac:dyDescent="0.25">
      <c r="A176" s="52"/>
      <c r="B176" s="28" t="s">
        <v>47</v>
      </c>
      <c r="C176" s="55">
        <v>211</v>
      </c>
      <c r="D176" s="33">
        <f t="shared" si="36"/>
        <v>0</v>
      </c>
      <c r="E176" s="33">
        <f t="shared" si="37"/>
        <v>0</v>
      </c>
      <c r="F176" s="33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</row>
    <row r="177" spans="1:20" s="22" customFormat="1" ht="16.5" hidden="1" x14ac:dyDescent="0.25">
      <c r="A177" s="52"/>
      <c r="B177" s="28" t="s">
        <v>198</v>
      </c>
      <c r="C177" s="55">
        <v>213</v>
      </c>
      <c r="D177" s="33">
        <f t="shared" si="36"/>
        <v>0</v>
      </c>
      <c r="E177" s="33">
        <f t="shared" si="37"/>
        <v>0</v>
      </c>
      <c r="F177" s="33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</row>
    <row r="178" spans="1:20" s="22" customFormat="1" ht="16.5" hidden="1" x14ac:dyDescent="0.25">
      <c r="A178" s="52" t="s">
        <v>199</v>
      </c>
      <c r="B178" s="28" t="s">
        <v>200</v>
      </c>
      <c r="C178" s="55">
        <v>310</v>
      </c>
      <c r="D178" s="33">
        <f t="shared" si="36"/>
        <v>0</v>
      </c>
      <c r="E178" s="33">
        <f t="shared" si="37"/>
        <v>0</v>
      </c>
      <c r="F178" s="33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</row>
    <row r="179" spans="1:20" s="22" customFormat="1" ht="16.5" hidden="1" x14ac:dyDescent="0.25">
      <c r="A179" s="52" t="s">
        <v>201</v>
      </c>
      <c r="B179" s="28" t="s">
        <v>202</v>
      </c>
      <c r="C179" s="55">
        <v>340</v>
      </c>
      <c r="D179" s="33">
        <f t="shared" si="36"/>
        <v>0</v>
      </c>
      <c r="E179" s="33">
        <f t="shared" si="37"/>
        <v>0</v>
      </c>
      <c r="F179" s="33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</row>
    <row r="180" spans="1:20" s="37" customFormat="1" ht="51.75" hidden="1" x14ac:dyDescent="0.25">
      <c r="A180" s="47" t="s">
        <v>35</v>
      </c>
      <c r="B180" s="62" t="s">
        <v>36</v>
      </c>
      <c r="C180" s="72"/>
      <c r="D180" s="33">
        <f t="shared" si="36"/>
        <v>0</v>
      </c>
      <c r="E180" s="33">
        <f t="shared" si="37"/>
        <v>0</v>
      </c>
      <c r="F180" s="33"/>
      <c r="G180" s="34">
        <f t="shared" ref="G180:S180" si="43">SUM(G181:G185)</f>
        <v>0</v>
      </c>
      <c r="H180" s="34"/>
      <c r="I180" s="34">
        <f t="shared" si="43"/>
        <v>0</v>
      </c>
      <c r="J180" s="34"/>
      <c r="K180" s="34">
        <f t="shared" si="43"/>
        <v>0</v>
      </c>
      <c r="L180" s="34"/>
      <c r="M180" s="34">
        <f t="shared" si="43"/>
        <v>0</v>
      </c>
      <c r="N180" s="34"/>
      <c r="O180" s="34">
        <f t="shared" si="43"/>
        <v>0</v>
      </c>
      <c r="P180" s="34"/>
      <c r="Q180" s="34"/>
      <c r="R180" s="34"/>
      <c r="S180" s="34">
        <f t="shared" si="43"/>
        <v>0</v>
      </c>
      <c r="T180" s="34">
        <f t="shared" ref="T180" si="44">SUM(T181:T185)</f>
        <v>0</v>
      </c>
    </row>
    <row r="181" spans="1:20" s="6" customFormat="1" ht="33" hidden="1" x14ac:dyDescent="0.25">
      <c r="A181" s="73" t="s">
        <v>203</v>
      </c>
      <c r="B181" s="64" t="s">
        <v>204</v>
      </c>
      <c r="C181" s="69">
        <v>222</v>
      </c>
      <c r="D181" s="33">
        <f t="shared" si="36"/>
        <v>0</v>
      </c>
      <c r="E181" s="33">
        <f t="shared" si="37"/>
        <v>0</v>
      </c>
      <c r="F181" s="33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</row>
    <row r="182" spans="1:20" s="6" customFormat="1" ht="33" hidden="1" x14ac:dyDescent="0.25">
      <c r="A182" s="73" t="s">
        <v>203</v>
      </c>
      <c r="B182" s="64" t="s">
        <v>204</v>
      </c>
      <c r="C182" s="69">
        <v>226</v>
      </c>
      <c r="D182" s="33">
        <f t="shared" si="36"/>
        <v>0</v>
      </c>
      <c r="E182" s="33">
        <f t="shared" si="37"/>
        <v>0</v>
      </c>
      <c r="F182" s="33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</row>
    <row r="183" spans="1:20" s="6" customFormat="1" ht="33" hidden="1" x14ac:dyDescent="0.25">
      <c r="A183" s="73" t="s">
        <v>203</v>
      </c>
      <c r="B183" s="64" t="s">
        <v>204</v>
      </c>
      <c r="C183" s="69">
        <v>290</v>
      </c>
      <c r="D183" s="33">
        <f t="shared" si="36"/>
        <v>0</v>
      </c>
      <c r="E183" s="33">
        <f t="shared" si="37"/>
        <v>0</v>
      </c>
      <c r="F183" s="33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</row>
    <row r="184" spans="1:20" s="6" customFormat="1" ht="33" hidden="1" x14ac:dyDescent="0.25">
      <c r="A184" s="73" t="s">
        <v>203</v>
      </c>
      <c r="B184" s="64" t="s">
        <v>204</v>
      </c>
      <c r="C184" s="69">
        <v>310</v>
      </c>
      <c r="D184" s="33">
        <f t="shared" si="36"/>
        <v>0</v>
      </c>
      <c r="E184" s="33">
        <f t="shared" si="37"/>
        <v>0</v>
      </c>
      <c r="F184" s="33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</row>
    <row r="185" spans="1:20" s="6" customFormat="1" ht="33" hidden="1" x14ac:dyDescent="0.25">
      <c r="A185" s="73" t="s">
        <v>203</v>
      </c>
      <c r="B185" s="64" t="s">
        <v>204</v>
      </c>
      <c r="C185" s="69">
        <v>340</v>
      </c>
      <c r="D185" s="33">
        <f t="shared" si="36"/>
        <v>0</v>
      </c>
      <c r="E185" s="33">
        <f t="shared" si="37"/>
        <v>0</v>
      </c>
      <c r="F185" s="33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</row>
    <row r="186" spans="1:20" s="32" customFormat="1" ht="17.25" hidden="1" x14ac:dyDescent="0.25">
      <c r="A186" s="74" t="s">
        <v>205</v>
      </c>
      <c r="B186" s="62" t="s">
        <v>37</v>
      </c>
      <c r="C186" s="49"/>
      <c r="D186" s="33">
        <f t="shared" si="36"/>
        <v>0</v>
      </c>
      <c r="E186" s="33">
        <f t="shared" si="37"/>
        <v>0</v>
      </c>
      <c r="F186" s="33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</row>
    <row r="187" spans="1:20" s="18" customFormat="1" ht="17.25" x14ac:dyDescent="0.25">
      <c r="A187" s="61" t="s">
        <v>206</v>
      </c>
      <c r="B187" s="62" t="s">
        <v>38</v>
      </c>
      <c r="C187" s="49"/>
      <c r="D187" s="33">
        <f t="shared" si="36"/>
        <v>1440373.77</v>
      </c>
      <c r="E187" s="33">
        <f t="shared" si="37"/>
        <v>850378.74</v>
      </c>
      <c r="F187" s="33"/>
      <c r="G187" s="34">
        <f t="shared" ref="G187:O187" si="45">SUM(G188+G189+G190+G191+G192+G193+G197+G198+G199+G200+G201+G202+G203+G205)</f>
        <v>0</v>
      </c>
      <c r="H187" s="34"/>
      <c r="I187" s="34">
        <f t="shared" si="45"/>
        <v>0</v>
      </c>
      <c r="J187" s="34"/>
      <c r="K187" s="34">
        <f t="shared" si="45"/>
        <v>0</v>
      </c>
      <c r="L187" s="34"/>
      <c r="M187" s="34">
        <f t="shared" si="45"/>
        <v>0</v>
      </c>
      <c r="N187" s="34"/>
      <c r="O187" s="34">
        <f t="shared" si="45"/>
        <v>0</v>
      </c>
      <c r="P187" s="34"/>
      <c r="Q187" s="34"/>
      <c r="R187" s="34"/>
      <c r="S187" s="34">
        <f>SUM(S188+S189+S190+S191+S192+S193+S197+S198+S199+S200+S201+S202+S203+S205)+S204</f>
        <v>1440373.77</v>
      </c>
      <c r="T187" s="34">
        <f>SUM(T188+T189+T190+T191+T192+T193+T197+T198+T199+T200+T201+T202+T203+T205)+T204</f>
        <v>850378.74</v>
      </c>
    </row>
    <row r="188" spans="1:20" s="6" customFormat="1" ht="16.5" x14ac:dyDescent="0.25">
      <c r="A188" s="63" t="s">
        <v>207</v>
      </c>
      <c r="B188" s="28" t="s">
        <v>47</v>
      </c>
      <c r="C188" s="51">
        <v>211</v>
      </c>
      <c r="D188" s="33">
        <f t="shared" si="36"/>
        <v>0</v>
      </c>
      <c r="E188" s="33">
        <f t="shared" si="37"/>
        <v>0</v>
      </c>
      <c r="F188" s="33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33"/>
      <c r="T188" s="85"/>
    </row>
    <row r="189" spans="1:20" s="6" customFormat="1" ht="16.5" x14ac:dyDescent="0.25">
      <c r="A189" s="63" t="s">
        <v>208</v>
      </c>
      <c r="B189" s="28" t="s">
        <v>49</v>
      </c>
      <c r="C189" s="51">
        <v>212</v>
      </c>
      <c r="D189" s="33">
        <f t="shared" si="36"/>
        <v>0</v>
      </c>
      <c r="E189" s="33">
        <f t="shared" si="37"/>
        <v>0</v>
      </c>
      <c r="F189" s="33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33"/>
      <c r="T189" s="85"/>
    </row>
    <row r="190" spans="1:20" s="6" customFormat="1" ht="16.5" x14ac:dyDescent="0.25">
      <c r="A190" s="63" t="s">
        <v>209</v>
      </c>
      <c r="B190" s="28" t="s">
        <v>51</v>
      </c>
      <c r="C190" s="51">
        <v>213</v>
      </c>
      <c r="D190" s="33">
        <f t="shared" si="36"/>
        <v>0</v>
      </c>
      <c r="E190" s="33">
        <f t="shared" si="37"/>
        <v>0</v>
      </c>
      <c r="F190" s="33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33"/>
      <c r="T190" s="85"/>
    </row>
    <row r="191" spans="1:20" s="6" customFormat="1" ht="16.5" x14ac:dyDescent="0.25">
      <c r="A191" s="63" t="s">
        <v>210</v>
      </c>
      <c r="B191" s="28" t="s">
        <v>53</v>
      </c>
      <c r="C191" s="51">
        <v>221</v>
      </c>
      <c r="D191" s="33">
        <f t="shared" si="36"/>
        <v>7000</v>
      </c>
      <c r="E191" s="33">
        <f t="shared" si="37"/>
        <v>277.77999999999997</v>
      </c>
      <c r="F191" s="33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33">
        <v>7000</v>
      </c>
      <c r="T191" s="85">
        <v>277.77999999999997</v>
      </c>
    </row>
    <row r="192" spans="1:20" s="6" customFormat="1" ht="16.5" x14ac:dyDescent="0.25">
      <c r="A192" s="63" t="s">
        <v>211</v>
      </c>
      <c r="B192" s="28" t="s">
        <v>55</v>
      </c>
      <c r="C192" s="51">
        <v>222</v>
      </c>
      <c r="D192" s="33">
        <f t="shared" si="36"/>
        <v>7000</v>
      </c>
      <c r="E192" s="33">
        <f t="shared" si="37"/>
        <v>0</v>
      </c>
      <c r="F192" s="33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33">
        <v>7000</v>
      </c>
      <c r="T192" s="85"/>
    </row>
    <row r="193" spans="1:20" s="6" customFormat="1" ht="16.5" x14ac:dyDescent="0.25">
      <c r="A193" s="63" t="s">
        <v>212</v>
      </c>
      <c r="B193" s="28" t="s">
        <v>57</v>
      </c>
      <c r="C193" s="51">
        <v>223</v>
      </c>
      <c r="D193" s="33">
        <f t="shared" si="36"/>
        <v>27200</v>
      </c>
      <c r="E193" s="33">
        <f t="shared" si="37"/>
        <v>0</v>
      </c>
      <c r="F193" s="33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33">
        <f>SUM(S194:S196)</f>
        <v>27200</v>
      </c>
      <c r="T193" s="85"/>
    </row>
    <row r="194" spans="1:20" s="6" customFormat="1" ht="16.5" x14ac:dyDescent="0.25">
      <c r="A194" s="63"/>
      <c r="B194" s="58" t="s">
        <v>213</v>
      </c>
      <c r="C194" s="51">
        <v>223</v>
      </c>
      <c r="D194" s="33">
        <f t="shared" si="36"/>
        <v>2300</v>
      </c>
      <c r="E194" s="33">
        <f t="shared" si="37"/>
        <v>0</v>
      </c>
      <c r="F194" s="33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33">
        <v>2300</v>
      </c>
      <c r="T194" s="85"/>
    </row>
    <row r="195" spans="1:20" s="6" customFormat="1" ht="16.5" x14ac:dyDescent="0.25">
      <c r="A195" s="63"/>
      <c r="B195" s="58" t="s">
        <v>214</v>
      </c>
      <c r="C195" s="51">
        <v>223</v>
      </c>
      <c r="D195" s="33">
        <f t="shared" si="36"/>
        <v>13600</v>
      </c>
      <c r="E195" s="33">
        <f t="shared" si="37"/>
        <v>0</v>
      </c>
      <c r="F195" s="33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33">
        <v>13600</v>
      </c>
      <c r="T195" s="85"/>
    </row>
    <row r="196" spans="1:20" s="6" customFormat="1" ht="16.5" x14ac:dyDescent="0.25">
      <c r="A196" s="63"/>
      <c r="B196" s="58" t="s">
        <v>215</v>
      </c>
      <c r="C196" s="51">
        <v>223</v>
      </c>
      <c r="D196" s="33">
        <f t="shared" si="36"/>
        <v>11300</v>
      </c>
      <c r="E196" s="33">
        <f t="shared" si="37"/>
        <v>0</v>
      </c>
      <c r="F196" s="33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33">
        <v>11300</v>
      </c>
      <c r="T196" s="85"/>
    </row>
    <row r="197" spans="1:20" s="6" customFormat="1" ht="16.5" x14ac:dyDescent="0.25">
      <c r="A197" s="63" t="s">
        <v>216</v>
      </c>
      <c r="B197" s="58" t="s">
        <v>217</v>
      </c>
      <c r="C197" s="51">
        <v>224</v>
      </c>
      <c r="D197" s="33">
        <f t="shared" si="36"/>
        <v>0</v>
      </c>
      <c r="E197" s="33">
        <f t="shared" si="37"/>
        <v>0</v>
      </c>
      <c r="F197" s="33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33"/>
      <c r="T197" s="85"/>
    </row>
    <row r="198" spans="1:20" s="6" customFormat="1" ht="16.5" x14ac:dyDescent="0.25">
      <c r="A198" s="63" t="s">
        <v>218</v>
      </c>
      <c r="B198" s="58" t="s">
        <v>219</v>
      </c>
      <c r="C198" s="51">
        <v>225</v>
      </c>
      <c r="D198" s="33">
        <f t="shared" si="36"/>
        <v>0</v>
      </c>
      <c r="E198" s="33">
        <f t="shared" si="37"/>
        <v>0</v>
      </c>
      <c r="F198" s="33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33"/>
      <c r="T198" s="85"/>
    </row>
    <row r="199" spans="1:20" s="6" customFormat="1" ht="16.5" x14ac:dyDescent="0.25">
      <c r="A199" s="63" t="s">
        <v>220</v>
      </c>
      <c r="B199" s="58" t="s">
        <v>221</v>
      </c>
      <c r="C199" s="51">
        <v>225</v>
      </c>
      <c r="D199" s="33">
        <f t="shared" si="36"/>
        <v>7000</v>
      </c>
      <c r="E199" s="33">
        <f t="shared" si="37"/>
        <v>76827.210000000006</v>
      </c>
      <c r="F199" s="33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33">
        <v>7000</v>
      </c>
      <c r="T199" s="85">
        <v>76827.210000000006</v>
      </c>
    </row>
    <row r="200" spans="1:20" s="6" customFormat="1" ht="16.5" x14ac:dyDescent="0.25">
      <c r="A200" s="63" t="s">
        <v>222</v>
      </c>
      <c r="B200" s="58" t="s">
        <v>223</v>
      </c>
      <c r="C200" s="51">
        <v>226</v>
      </c>
      <c r="D200" s="33">
        <f t="shared" si="36"/>
        <v>935640</v>
      </c>
      <c r="E200" s="33">
        <f t="shared" si="37"/>
        <v>625496</v>
      </c>
      <c r="F200" s="33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33">
        <v>935640</v>
      </c>
      <c r="T200" s="85">
        <v>625496</v>
      </c>
    </row>
    <row r="201" spans="1:20" s="6" customFormat="1" ht="16.5" x14ac:dyDescent="0.25">
      <c r="A201" s="63" t="s">
        <v>224</v>
      </c>
      <c r="B201" s="58" t="s">
        <v>225</v>
      </c>
      <c r="C201" s="51">
        <v>226</v>
      </c>
      <c r="D201" s="33">
        <f t="shared" si="36"/>
        <v>0</v>
      </c>
      <c r="E201" s="33">
        <f t="shared" si="37"/>
        <v>0</v>
      </c>
      <c r="F201" s="33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33"/>
      <c r="T201" s="85"/>
    </row>
    <row r="202" spans="1:20" s="6" customFormat="1" ht="16.5" x14ac:dyDescent="0.25">
      <c r="A202" s="63" t="s">
        <v>226</v>
      </c>
      <c r="B202" s="28" t="s">
        <v>68</v>
      </c>
      <c r="C202" s="51">
        <v>290</v>
      </c>
      <c r="D202" s="33">
        <f t="shared" si="36"/>
        <v>8000</v>
      </c>
      <c r="E202" s="33">
        <f t="shared" si="37"/>
        <v>7142.7</v>
      </c>
      <c r="F202" s="33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33">
        <v>8000</v>
      </c>
      <c r="T202" s="85">
        <v>7142.7</v>
      </c>
    </row>
    <row r="203" spans="1:20" s="6" customFormat="1" ht="16.5" x14ac:dyDescent="0.25">
      <c r="A203" s="63" t="s">
        <v>227</v>
      </c>
      <c r="B203" s="58" t="s">
        <v>72</v>
      </c>
      <c r="C203" s="51">
        <v>310</v>
      </c>
      <c r="D203" s="33">
        <f t="shared" si="36"/>
        <v>88182.09</v>
      </c>
      <c r="E203" s="33">
        <f t="shared" si="37"/>
        <v>63720</v>
      </c>
      <c r="F203" s="33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33">
        <v>88182.09</v>
      </c>
      <c r="T203" s="85">
        <v>63720</v>
      </c>
    </row>
    <row r="204" spans="1:20" s="6" customFormat="1" ht="16.5" x14ac:dyDescent="0.25">
      <c r="A204" s="63" t="s">
        <v>228</v>
      </c>
      <c r="B204" s="58" t="s">
        <v>243</v>
      </c>
      <c r="C204" s="51">
        <v>340</v>
      </c>
      <c r="D204" s="33">
        <f t="shared" si="36"/>
        <v>360351.68</v>
      </c>
      <c r="E204" s="33">
        <f t="shared" si="37"/>
        <v>76915.05</v>
      </c>
      <c r="F204" s="33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33">
        <v>360351.68</v>
      </c>
      <c r="T204" s="85">
        <v>76915.05</v>
      </c>
    </row>
    <row r="205" spans="1:20" s="6" customFormat="1" ht="16.5" x14ac:dyDescent="0.25">
      <c r="A205" s="63" t="s">
        <v>286</v>
      </c>
      <c r="B205" s="58" t="s">
        <v>225</v>
      </c>
      <c r="C205" s="51">
        <v>340</v>
      </c>
      <c r="D205" s="33">
        <f t="shared" si="36"/>
        <v>0</v>
      </c>
      <c r="E205" s="33">
        <f t="shared" si="37"/>
        <v>0</v>
      </c>
      <c r="F205" s="33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33"/>
      <c r="T205" s="85"/>
    </row>
    <row r="206" spans="1:20" s="18" customFormat="1" ht="17.25" hidden="1" x14ac:dyDescent="0.25">
      <c r="A206" s="61" t="s">
        <v>229</v>
      </c>
      <c r="B206" s="62" t="s">
        <v>39</v>
      </c>
      <c r="C206" s="49"/>
      <c r="D206" s="33">
        <f t="shared" si="36"/>
        <v>0</v>
      </c>
      <c r="E206" s="33">
        <f t="shared" si="37"/>
        <v>0</v>
      </c>
      <c r="F206" s="33"/>
      <c r="G206" s="34">
        <f t="shared" ref="G206:S206" si="46">SUM(G207+G208+G209+G210+G211+G212+G216+G217+G218+G219+G220+G221+G222)</f>
        <v>0</v>
      </c>
      <c r="H206" s="34"/>
      <c r="I206" s="34">
        <f t="shared" si="46"/>
        <v>0</v>
      </c>
      <c r="J206" s="34"/>
      <c r="K206" s="34">
        <f t="shared" si="46"/>
        <v>0</v>
      </c>
      <c r="L206" s="34"/>
      <c r="M206" s="34">
        <f t="shared" si="46"/>
        <v>0</v>
      </c>
      <c r="N206" s="34"/>
      <c r="O206" s="34">
        <f t="shared" si="46"/>
        <v>0</v>
      </c>
      <c r="P206" s="34"/>
      <c r="Q206" s="34"/>
      <c r="R206" s="34"/>
      <c r="S206" s="34">
        <f t="shared" si="46"/>
        <v>0</v>
      </c>
      <c r="T206" s="34">
        <f t="shared" ref="T206" si="47">SUM(T207+T208+T209+T210+T211+T212+T216+T217+T218+T219+T220+T221+T222)</f>
        <v>0</v>
      </c>
    </row>
    <row r="207" spans="1:20" s="6" customFormat="1" ht="16.5" hidden="1" x14ac:dyDescent="0.25">
      <c r="A207" s="63" t="s">
        <v>230</v>
      </c>
      <c r="B207" s="28" t="s">
        <v>47</v>
      </c>
      <c r="C207" s="51">
        <v>211</v>
      </c>
      <c r="D207" s="33">
        <f t="shared" si="36"/>
        <v>0</v>
      </c>
      <c r="E207" s="33">
        <f t="shared" si="37"/>
        <v>0</v>
      </c>
      <c r="F207" s="33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</row>
    <row r="208" spans="1:20" s="6" customFormat="1" ht="16.5" hidden="1" x14ac:dyDescent="0.25">
      <c r="A208" s="63" t="s">
        <v>231</v>
      </c>
      <c r="B208" s="28" t="s">
        <v>49</v>
      </c>
      <c r="C208" s="51">
        <v>212</v>
      </c>
      <c r="D208" s="33">
        <f t="shared" si="36"/>
        <v>0</v>
      </c>
      <c r="E208" s="33">
        <f t="shared" si="37"/>
        <v>0</v>
      </c>
      <c r="F208" s="33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</row>
    <row r="209" spans="1:20" s="6" customFormat="1" ht="16.5" hidden="1" x14ac:dyDescent="0.25">
      <c r="A209" s="63" t="s">
        <v>232</v>
      </c>
      <c r="B209" s="28" t="s">
        <v>51</v>
      </c>
      <c r="C209" s="51">
        <v>213</v>
      </c>
      <c r="D209" s="33">
        <f t="shared" si="36"/>
        <v>0</v>
      </c>
      <c r="E209" s="33">
        <f t="shared" si="37"/>
        <v>0</v>
      </c>
      <c r="F209" s="33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0" s="6" customFormat="1" ht="16.5" hidden="1" x14ac:dyDescent="0.25">
      <c r="A210" s="63" t="s">
        <v>233</v>
      </c>
      <c r="B210" s="28" t="s">
        <v>53</v>
      </c>
      <c r="C210" s="51">
        <v>221</v>
      </c>
      <c r="D210" s="33">
        <f t="shared" si="36"/>
        <v>0</v>
      </c>
      <c r="E210" s="33">
        <f t="shared" si="37"/>
        <v>0</v>
      </c>
      <c r="F210" s="33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0" s="6" customFormat="1" ht="16.5" hidden="1" x14ac:dyDescent="0.25">
      <c r="A211" s="63" t="s">
        <v>234</v>
      </c>
      <c r="B211" s="28" t="s">
        <v>55</v>
      </c>
      <c r="C211" s="51">
        <v>222</v>
      </c>
      <c r="D211" s="33">
        <f t="shared" si="36"/>
        <v>0</v>
      </c>
      <c r="E211" s="33">
        <f t="shared" si="37"/>
        <v>0</v>
      </c>
      <c r="F211" s="33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0" s="6" customFormat="1" ht="16.5" hidden="1" x14ac:dyDescent="0.25">
      <c r="A212" s="63" t="s">
        <v>235</v>
      </c>
      <c r="B212" s="28" t="s">
        <v>57</v>
      </c>
      <c r="C212" s="51">
        <v>223</v>
      </c>
      <c r="D212" s="33">
        <f t="shared" si="36"/>
        <v>0</v>
      </c>
      <c r="E212" s="33">
        <f t="shared" si="37"/>
        <v>0</v>
      </c>
      <c r="F212" s="33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0" s="6" customFormat="1" ht="16.5" hidden="1" x14ac:dyDescent="0.25">
      <c r="A213" s="63"/>
      <c r="B213" s="58" t="s">
        <v>213</v>
      </c>
      <c r="C213" s="51">
        <v>223</v>
      </c>
      <c r="D213" s="33">
        <f t="shared" si="36"/>
        <v>0</v>
      </c>
      <c r="E213" s="33">
        <f t="shared" si="37"/>
        <v>0</v>
      </c>
      <c r="F213" s="33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</row>
    <row r="214" spans="1:20" s="6" customFormat="1" ht="16.5" hidden="1" x14ac:dyDescent="0.25">
      <c r="A214" s="63"/>
      <c r="B214" s="58" t="s">
        <v>214</v>
      </c>
      <c r="C214" s="51">
        <v>223</v>
      </c>
      <c r="D214" s="33">
        <f t="shared" si="36"/>
        <v>0</v>
      </c>
      <c r="E214" s="33">
        <f t="shared" si="37"/>
        <v>0</v>
      </c>
      <c r="F214" s="33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</row>
    <row r="215" spans="1:20" s="6" customFormat="1" ht="16.5" hidden="1" x14ac:dyDescent="0.25">
      <c r="A215" s="63"/>
      <c r="B215" s="58" t="s">
        <v>215</v>
      </c>
      <c r="C215" s="51">
        <v>223</v>
      </c>
      <c r="D215" s="33">
        <f t="shared" si="36"/>
        <v>0</v>
      </c>
      <c r="E215" s="33">
        <f t="shared" si="37"/>
        <v>0</v>
      </c>
      <c r="F215" s="33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</row>
    <row r="216" spans="1:20" s="6" customFormat="1" ht="16.5" hidden="1" x14ac:dyDescent="0.25">
      <c r="A216" s="63" t="s">
        <v>236</v>
      </c>
      <c r="B216" s="58" t="s">
        <v>217</v>
      </c>
      <c r="C216" s="51">
        <v>224</v>
      </c>
      <c r="D216" s="33">
        <f t="shared" si="36"/>
        <v>0</v>
      </c>
      <c r="E216" s="33">
        <f t="shared" si="37"/>
        <v>0</v>
      </c>
      <c r="F216" s="33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</row>
    <row r="217" spans="1:20" s="6" customFormat="1" ht="16.5" hidden="1" x14ac:dyDescent="0.25">
      <c r="A217" s="63" t="s">
        <v>237</v>
      </c>
      <c r="B217" s="58" t="s">
        <v>219</v>
      </c>
      <c r="C217" s="51">
        <v>225</v>
      </c>
      <c r="D217" s="33">
        <f t="shared" si="36"/>
        <v>0</v>
      </c>
      <c r="E217" s="33">
        <f t="shared" si="37"/>
        <v>0</v>
      </c>
      <c r="F217" s="33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</row>
    <row r="218" spans="1:20" s="6" customFormat="1" ht="16.5" hidden="1" x14ac:dyDescent="0.25">
      <c r="A218" s="63" t="s">
        <v>238</v>
      </c>
      <c r="B218" s="28" t="s">
        <v>64</v>
      </c>
      <c r="C218" s="51">
        <v>225</v>
      </c>
      <c r="D218" s="33">
        <f t="shared" si="36"/>
        <v>0</v>
      </c>
      <c r="E218" s="33">
        <f t="shared" si="37"/>
        <v>0</v>
      </c>
      <c r="F218" s="33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</row>
    <row r="219" spans="1:20" s="6" customFormat="1" ht="16.5" hidden="1" x14ac:dyDescent="0.25">
      <c r="A219" s="63" t="s">
        <v>239</v>
      </c>
      <c r="B219" s="28" t="s">
        <v>66</v>
      </c>
      <c r="C219" s="51">
        <v>226</v>
      </c>
      <c r="D219" s="33">
        <f t="shared" si="36"/>
        <v>0</v>
      </c>
      <c r="E219" s="33">
        <f t="shared" si="37"/>
        <v>0</v>
      </c>
      <c r="F219" s="33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</row>
    <row r="220" spans="1:20" s="6" customFormat="1" ht="16.5" hidden="1" x14ac:dyDescent="0.25">
      <c r="A220" s="63" t="s">
        <v>240</v>
      </c>
      <c r="B220" s="28" t="s">
        <v>68</v>
      </c>
      <c r="C220" s="51">
        <v>290</v>
      </c>
      <c r="D220" s="33">
        <f t="shared" si="36"/>
        <v>0</v>
      </c>
      <c r="E220" s="33">
        <f t="shared" si="37"/>
        <v>0</v>
      </c>
      <c r="F220" s="33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</row>
    <row r="221" spans="1:20" s="6" customFormat="1" ht="16.5" hidden="1" x14ac:dyDescent="0.25">
      <c r="A221" s="63" t="s">
        <v>241</v>
      </c>
      <c r="B221" s="58" t="s">
        <v>72</v>
      </c>
      <c r="C221" s="51">
        <v>310</v>
      </c>
      <c r="D221" s="33">
        <f t="shared" si="36"/>
        <v>0</v>
      </c>
      <c r="E221" s="33">
        <f t="shared" si="37"/>
        <v>0</v>
      </c>
      <c r="F221" s="33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</row>
    <row r="222" spans="1:20" s="6" customFormat="1" ht="16.5" hidden="1" x14ac:dyDescent="0.25">
      <c r="A222" s="63" t="s">
        <v>242</v>
      </c>
      <c r="B222" s="58" t="s">
        <v>243</v>
      </c>
      <c r="C222" s="51">
        <v>340</v>
      </c>
      <c r="D222" s="33">
        <f t="shared" si="36"/>
        <v>0</v>
      </c>
      <c r="E222" s="33">
        <f t="shared" si="37"/>
        <v>0</v>
      </c>
      <c r="F222" s="33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</row>
    <row r="223" spans="1:20" s="18" customFormat="1" ht="17.25" x14ac:dyDescent="0.25">
      <c r="A223" s="61" t="s">
        <v>244</v>
      </c>
      <c r="B223" s="62" t="s">
        <v>40</v>
      </c>
      <c r="C223" s="49"/>
      <c r="D223" s="33">
        <f t="shared" si="36"/>
        <v>44265735.609999999</v>
      </c>
      <c r="E223" s="33">
        <f t="shared" si="37"/>
        <v>12832661.379999999</v>
      </c>
      <c r="F223" s="33"/>
      <c r="G223" s="34">
        <f t="shared" ref="G223:S223" si="48">SUM(G224+G225+G226+G227+G228+G229+G233+G234+G235+G236+G237+G238+G239+G240)</f>
        <v>0</v>
      </c>
      <c r="H223" s="34"/>
      <c r="I223" s="34">
        <f t="shared" si="48"/>
        <v>0</v>
      </c>
      <c r="J223" s="34"/>
      <c r="K223" s="34">
        <f t="shared" si="48"/>
        <v>0</v>
      </c>
      <c r="L223" s="34"/>
      <c r="M223" s="34">
        <f t="shared" si="48"/>
        <v>0</v>
      </c>
      <c r="N223" s="34"/>
      <c r="O223" s="34">
        <f t="shared" si="48"/>
        <v>0</v>
      </c>
      <c r="P223" s="34"/>
      <c r="Q223" s="34"/>
      <c r="R223" s="34"/>
      <c r="S223" s="34">
        <f t="shared" si="48"/>
        <v>44265735.609999999</v>
      </c>
      <c r="T223" s="34">
        <f t="shared" ref="T223" si="49">SUM(T224+T225+T226+T227+T228+T229+T233+T234+T235+T236+T237+T238+T239+T240)</f>
        <v>12832661.379999999</v>
      </c>
    </row>
    <row r="224" spans="1:20" s="6" customFormat="1" ht="16.5" x14ac:dyDescent="0.25">
      <c r="A224" s="63" t="s">
        <v>245</v>
      </c>
      <c r="B224" s="28" t="s">
        <v>47</v>
      </c>
      <c r="C224" s="51">
        <v>211</v>
      </c>
      <c r="D224" s="33">
        <f t="shared" si="36"/>
        <v>0</v>
      </c>
      <c r="E224" s="33">
        <f t="shared" si="37"/>
        <v>0</v>
      </c>
      <c r="F224" s="33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86"/>
    </row>
    <row r="225" spans="1:20" s="6" customFormat="1" ht="16.5" x14ac:dyDescent="0.25">
      <c r="A225" s="63" t="s">
        <v>246</v>
      </c>
      <c r="B225" s="28" t="s">
        <v>49</v>
      </c>
      <c r="C225" s="51">
        <v>212</v>
      </c>
      <c r="D225" s="33">
        <f t="shared" si="36"/>
        <v>0</v>
      </c>
      <c r="E225" s="33">
        <f t="shared" si="37"/>
        <v>0</v>
      </c>
      <c r="F225" s="33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86"/>
    </row>
    <row r="226" spans="1:20" s="6" customFormat="1" ht="16.5" x14ac:dyDescent="0.25">
      <c r="A226" s="63" t="s">
        <v>247</v>
      </c>
      <c r="B226" s="28" t="s">
        <v>51</v>
      </c>
      <c r="C226" s="51">
        <v>213</v>
      </c>
      <c r="D226" s="33">
        <f t="shared" si="36"/>
        <v>0</v>
      </c>
      <c r="E226" s="33">
        <f t="shared" si="37"/>
        <v>0</v>
      </c>
      <c r="F226" s="33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86"/>
    </row>
    <row r="227" spans="1:20" s="6" customFormat="1" ht="16.5" x14ac:dyDescent="0.25">
      <c r="A227" s="63" t="s">
        <v>248</v>
      </c>
      <c r="B227" s="28" t="s">
        <v>53</v>
      </c>
      <c r="C227" s="51">
        <v>221</v>
      </c>
      <c r="D227" s="33">
        <f t="shared" ref="D227:D258" si="50">SUM(G227+I227+K227+M227+O227+Q227+S227)</f>
        <v>0</v>
      </c>
      <c r="E227" s="33">
        <f t="shared" ref="E227:E258" si="51">SUM(H227+J227+L227+N227+P227+R227+T227)</f>
        <v>0</v>
      </c>
      <c r="F227" s="33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86"/>
    </row>
    <row r="228" spans="1:20" s="6" customFormat="1" ht="16.5" x14ac:dyDescent="0.25">
      <c r="A228" s="63" t="s">
        <v>249</v>
      </c>
      <c r="B228" s="28" t="s">
        <v>55</v>
      </c>
      <c r="C228" s="51">
        <v>222</v>
      </c>
      <c r="D228" s="33">
        <f t="shared" si="50"/>
        <v>0</v>
      </c>
      <c r="E228" s="33">
        <f t="shared" si="51"/>
        <v>0</v>
      </c>
      <c r="F228" s="33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86"/>
    </row>
    <row r="229" spans="1:20" s="6" customFormat="1" ht="16.5" x14ac:dyDescent="0.25">
      <c r="A229" s="63" t="s">
        <v>250</v>
      </c>
      <c r="B229" s="28" t="s">
        <v>57</v>
      </c>
      <c r="C229" s="51">
        <v>223</v>
      </c>
      <c r="D229" s="33">
        <f t="shared" si="50"/>
        <v>0</v>
      </c>
      <c r="E229" s="33">
        <f t="shared" si="51"/>
        <v>0</v>
      </c>
      <c r="F229" s="33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86"/>
    </row>
    <row r="230" spans="1:20" s="6" customFormat="1" ht="16.5" x14ac:dyDescent="0.25">
      <c r="A230" s="63"/>
      <c r="B230" s="58" t="s">
        <v>213</v>
      </c>
      <c r="C230" s="51">
        <v>223</v>
      </c>
      <c r="D230" s="33">
        <f t="shared" si="50"/>
        <v>0</v>
      </c>
      <c r="E230" s="33">
        <f t="shared" si="51"/>
        <v>0</v>
      </c>
      <c r="F230" s="33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86"/>
    </row>
    <row r="231" spans="1:20" s="6" customFormat="1" ht="16.5" x14ac:dyDescent="0.25">
      <c r="A231" s="63"/>
      <c r="B231" s="58" t="s">
        <v>214</v>
      </c>
      <c r="C231" s="51">
        <v>223</v>
      </c>
      <c r="D231" s="33">
        <f t="shared" si="50"/>
        <v>0</v>
      </c>
      <c r="E231" s="33">
        <f t="shared" si="51"/>
        <v>0</v>
      </c>
      <c r="F231" s="33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86"/>
    </row>
    <row r="232" spans="1:20" s="6" customFormat="1" ht="16.5" x14ac:dyDescent="0.25">
      <c r="A232" s="63"/>
      <c r="B232" s="58" t="s">
        <v>215</v>
      </c>
      <c r="C232" s="51">
        <v>223</v>
      </c>
      <c r="D232" s="33">
        <f t="shared" si="50"/>
        <v>0</v>
      </c>
      <c r="E232" s="33">
        <f t="shared" si="51"/>
        <v>0</v>
      </c>
      <c r="F232" s="33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86"/>
    </row>
    <row r="233" spans="1:20" s="6" customFormat="1" ht="16.5" x14ac:dyDescent="0.25">
      <c r="A233" s="63" t="s">
        <v>251</v>
      </c>
      <c r="B233" s="58" t="s">
        <v>217</v>
      </c>
      <c r="C233" s="51">
        <v>224</v>
      </c>
      <c r="D233" s="33">
        <f t="shared" si="50"/>
        <v>0</v>
      </c>
      <c r="E233" s="33">
        <f t="shared" si="51"/>
        <v>0</v>
      </c>
      <c r="F233" s="33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86"/>
    </row>
    <row r="234" spans="1:20" s="6" customFormat="1" ht="16.5" x14ac:dyDescent="0.25">
      <c r="A234" s="63" t="s">
        <v>252</v>
      </c>
      <c r="B234" s="58" t="s">
        <v>219</v>
      </c>
      <c r="C234" s="51">
        <v>225</v>
      </c>
      <c r="D234" s="33">
        <f t="shared" si="50"/>
        <v>0</v>
      </c>
      <c r="E234" s="33">
        <f t="shared" si="51"/>
        <v>0</v>
      </c>
      <c r="F234" s="33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86"/>
    </row>
    <row r="235" spans="1:20" s="6" customFormat="1" ht="16.5" x14ac:dyDescent="0.25">
      <c r="A235" s="63" t="s">
        <v>253</v>
      </c>
      <c r="B235" s="28" t="s">
        <v>64</v>
      </c>
      <c r="C235" s="51">
        <v>225</v>
      </c>
      <c r="D235" s="33">
        <f t="shared" si="50"/>
        <v>0</v>
      </c>
      <c r="E235" s="33">
        <f t="shared" si="51"/>
        <v>13200</v>
      </c>
      <c r="F235" s="33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85">
        <v>13200</v>
      </c>
    </row>
    <row r="236" spans="1:20" s="6" customFormat="1" ht="16.5" x14ac:dyDescent="0.25">
      <c r="A236" s="63" t="s">
        <v>254</v>
      </c>
      <c r="B236" s="28" t="s">
        <v>66</v>
      </c>
      <c r="C236" s="51">
        <v>226</v>
      </c>
      <c r="D236" s="33">
        <f t="shared" si="50"/>
        <v>0</v>
      </c>
      <c r="E236" s="33">
        <f t="shared" si="51"/>
        <v>3700</v>
      </c>
      <c r="F236" s="33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85">
        <v>3700</v>
      </c>
    </row>
    <row r="237" spans="1:20" s="6" customFormat="1" ht="16.5" x14ac:dyDescent="0.25">
      <c r="A237" s="63" t="s">
        <v>255</v>
      </c>
      <c r="B237" s="58" t="s">
        <v>225</v>
      </c>
      <c r="C237" s="51">
        <v>226</v>
      </c>
      <c r="D237" s="33">
        <f t="shared" si="50"/>
        <v>0</v>
      </c>
      <c r="E237" s="33">
        <f t="shared" si="51"/>
        <v>0</v>
      </c>
      <c r="F237" s="33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85"/>
    </row>
    <row r="238" spans="1:20" s="6" customFormat="1" ht="16.5" x14ac:dyDescent="0.25">
      <c r="A238" s="63" t="s">
        <v>256</v>
      </c>
      <c r="B238" s="28" t="s">
        <v>68</v>
      </c>
      <c r="C238" s="51">
        <v>290</v>
      </c>
      <c r="D238" s="33">
        <f t="shared" si="50"/>
        <v>0</v>
      </c>
      <c r="E238" s="33">
        <f t="shared" si="51"/>
        <v>0</v>
      </c>
      <c r="F238" s="33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85"/>
    </row>
    <row r="239" spans="1:20" s="6" customFormat="1" ht="16.5" x14ac:dyDescent="0.25">
      <c r="A239" s="63" t="s">
        <v>257</v>
      </c>
      <c r="B239" s="58" t="s">
        <v>72</v>
      </c>
      <c r="C239" s="51">
        <v>310</v>
      </c>
      <c r="D239" s="33">
        <f t="shared" si="50"/>
        <v>0</v>
      </c>
      <c r="E239" s="33">
        <f t="shared" si="51"/>
        <v>178755</v>
      </c>
      <c r="F239" s="33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85">
        <v>178755</v>
      </c>
    </row>
    <row r="240" spans="1:20" s="6" customFormat="1" ht="16.5" x14ac:dyDescent="0.25">
      <c r="A240" s="63" t="s">
        <v>258</v>
      </c>
      <c r="B240" s="58" t="s">
        <v>243</v>
      </c>
      <c r="C240" s="51">
        <v>340</v>
      </c>
      <c r="D240" s="33">
        <f t="shared" si="50"/>
        <v>44265735.609999999</v>
      </c>
      <c r="E240" s="33">
        <f t="shared" si="51"/>
        <v>12637006.379999999</v>
      </c>
      <c r="F240" s="33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33">
        <v>44265735.609999999</v>
      </c>
      <c r="T240" s="85">
        <f>11429853.44+1207152.94</f>
        <v>12637006.379999999</v>
      </c>
    </row>
    <row r="241" spans="1:20" s="18" customFormat="1" ht="17.25" x14ac:dyDescent="0.25">
      <c r="A241" s="61" t="s">
        <v>259</v>
      </c>
      <c r="B241" s="62" t="s">
        <v>41</v>
      </c>
      <c r="C241" s="49"/>
      <c r="D241" s="33">
        <f t="shared" si="50"/>
        <v>1260819.55</v>
      </c>
      <c r="E241" s="33">
        <f t="shared" si="51"/>
        <v>229903.53</v>
      </c>
      <c r="F241" s="33"/>
      <c r="G241" s="34">
        <f t="shared" ref="G241:S241" si="52">SUM(G242+G243+G244+G245+G246+G247+G251+G252+G253+G254+G255+G256+G257+G258)</f>
        <v>0</v>
      </c>
      <c r="H241" s="34"/>
      <c r="I241" s="34">
        <f t="shared" si="52"/>
        <v>0</v>
      </c>
      <c r="J241" s="34"/>
      <c r="K241" s="34">
        <f t="shared" si="52"/>
        <v>0</v>
      </c>
      <c r="L241" s="34"/>
      <c r="M241" s="34">
        <f t="shared" si="52"/>
        <v>0</v>
      </c>
      <c r="N241" s="34"/>
      <c r="O241" s="34">
        <f t="shared" si="52"/>
        <v>0</v>
      </c>
      <c r="P241" s="34"/>
      <c r="Q241" s="34"/>
      <c r="R241" s="34"/>
      <c r="S241" s="34">
        <f t="shared" si="52"/>
        <v>1260819.55</v>
      </c>
      <c r="T241" s="34">
        <f t="shared" ref="T241" si="53">SUM(T242+T243+T244+T245+T246+T247+T251+T252+T253+T254+T255+T256+T257+T258)</f>
        <v>229903.53</v>
      </c>
    </row>
    <row r="242" spans="1:20" s="6" customFormat="1" ht="16.5" x14ac:dyDescent="0.25">
      <c r="A242" s="63" t="s">
        <v>260</v>
      </c>
      <c r="B242" s="28" t="s">
        <v>47</v>
      </c>
      <c r="C242" s="51">
        <v>211</v>
      </c>
      <c r="D242" s="33">
        <f t="shared" si="50"/>
        <v>0</v>
      </c>
      <c r="E242" s="33">
        <f t="shared" si="51"/>
        <v>0</v>
      </c>
      <c r="F242" s="33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86"/>
    </row>
    <row r="243" spans="1:20" s="6" customFormat="1" ht="16.5" x14ac:dyDescent="0.25">
      <c r="A243" s="63" t="s">
        <v>261</v>
      </c>
      <c r="B243" s="28" t="s">
        <v>49</v>
      </c>
      <c r="C243" s="51">
        <v>212</v>
      </c>
      <c r="D243" s="33">
        <f t="shared" si="50"/>
        <v>0</v>
      </c>
      <c r="E243" s="33">
        <f t="shared" si="51"/>
        <v>0</v>
      </c>
      <c r="F243" s="33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86"/>
    </row>
    <row r="244" spans="1:20" s="6" customFormat="1" ht="16.5" x14ac:dyDescent="0.25">
      <c r="A244" s="63" t="s">
        <v>262</v>
      </c>
      <c r="B244" s="28" t="s">
        <v>51</v>
      </c>
      <c r="C244" s="51">
        <v>213</v>
      </c>
      <c r="D244" s="33">
        <f t="shared" si="50"/>
        <v>0</v>
      </c>
      <c r="E244" s="33">
        <f t="shared" si="51"/>
        <v>0</v>
      </c>
      <c r="F244" s="33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86"/>
    </row>
    <row r="245" spans="1:20" s="6" customFormat="1" ht="16.5" x14ac:dyDescent="0.25">
      <c r="A245" s="63" t="s">
        <v>263</v>
      </c>
      <c r="B245" s="28" t="s">
        <v>53</v>
      </c>
      <c r="C245" s="51">
        <v>221</v>
      </c>
      <c r="D245" s="33">
        <f t="shared" si="50"/>
        <v>169700</v>
      </c>
      <c r="E245" s="33">
        <f t="shared" si="51"/>
        <v>21243.51</v>
      </c>
      <c r="F245" s="33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33">
        <v>169700</v>
      </c>
      <c r="T245" s="85">
        <v>21243.51</v>
      </c>
    </row>
    <row r="246" spans="1:20" s="6" customFormat="1" ht="16.5" x14ac:dyDescent="0.25">
      <c r="A246" s="63" t="s">
        <v>264</v>
      </c>
      <c r="B246" s="28" t="s">
        <v>55</v>
      </c>
      <c r="C246" s="51">
        <v>222</v>
      </c>
      <c r="D246" s="33">
        <f t="shared" si="50"/>
        <v>27700</v>
      </c>
      <c r="E246" s="33">
        <f t="shared" si="51"/>
        <v>5000</v>
      </c>
      <c r="F246" s="33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33">
        <v>27700</v>
      </c>
      <c r="T246" s="85">
        <v>5000</v>
      </c>
    </row>
    <row r="247" spans="1:20" s="6" customFormat="1" ht="16.5" x14ac:dyDescent="0.25">
      <c r="A247" s="63" t="s">
        <v>265</v>
      </c>
      <c r="B247" s="28" t="s">
        <v>57</v>
      </c>
      <c r="C247" s="51">
        <v>223</v>
      </c>
      <c r="D247" s="33">
        <f t="shared" si="50"/>
        <v>0</v>
      </c>
      <c r="E247" s="33">
        <f t="shared" si="51"/>
        <v>0</v>
      </c>
      <c r="F247" s="33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33"/>
      <c r="T247" s="85"/>
    </row>
    <row r="248" spans="1:20" s="6" customFormat="1" ht="16.5" hidden="1" x14ac:dyDescent="0.25">
      <c r="A248" s="63"/>
      <c r="B248" s="58" t="s">
        <v>213</v>
      </c>
      <c r="C248" s="51">
        <v>223</v>
      </c>
      <c r="D248" s="33">
        <f t="shared" si="50"/>
        <v>0</v>
      </c>
      <c r="E248" s="33">
        <f t="shared" si="51"/>
        <v>0</v>
      </c>
      <c r="F248" s="33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33"/>
      <c r="T248" s="85"/>
    </row>
    <row r="249" spans="1:20" s="6" customFormat="1" ht="16.5" hidden="1" x14ac:dyDescent="0.25">
      <c r="A249" s="63"/>
      <c r="B249" s="58" t="s">
        <v>214</v>
      </c>
      <c r="C249" s="51">
        <v>223</v>
      </c>
      <c r="D249" s="33">
        <f t="shared" si="50"/>
        <v>0</v>
      </c>
      <c r="E249" s="33">
        <f t="shared" si="51"/>
        <v>0</v>
      </c>
      <c r="F249" s="33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33"/>
      <c r="T249" s="85"/>
    </row>
    <row r="250" spans="1:20" s="6" customFormat="1" ht="16.5" hidden="1" x14ac:dyDescent="0.25">
      <c r="A250" s="63"/>
      <c r="B250" s="58" t="s">
        <v>215</v>
      </c>
      <c r="C250" s="51">
        <v>223</v>
      </c>
      <c r="D250" s="33">
        <f t="shared" si="50"/>
        <v>0</v>
      </c>
      <c r="E250" s="33">
        <f t="shared" si="51"/>
        <v>0</v>
      </c>
      <c r="F250" s="33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33"/>
      <c r="T250" s="85"/>
    </row>
    <row r="251" spans="1:20" s="6" customFormat="1" ht="16.5" x14ac:dyDescent="0.25">
      <c r="A251" s="63" t="s">
        <v>266</v>
      </c>
      <c r="B251" s="58" t="s">
        <v>217</v>
      </c>
      <c r="C251" s="51">
        <v>224</v>
      </c>
      <c r="D251" s="33">
        <f t="shared" si="50"/>
        <v>0</v>
      </c>
      <c r="E251" s="33">
        <f t="shared" si="51"/>
        <v>0</v>
      </c>
      <c r="F251" s="33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33"/>
      <c r="T251" s="85"/>
    </row>
    <row r="252" spans="1:20" s="6" customFormat="1" ht="16.5" x14ac:dyDescent="0.25">
      <c r="A252" s="63" t="s">
        <v>267</v>
      </c>
      <c r="B252" s="58" t="s">
        <v>219</v>
      </c>
      <c r="C252" s="51">
        <v>225</v>
      </c>
      <c r="D252" s="33">
        <f t="shared" si="50"/>
        <v>0</v>
      </c>
      <c r="E252" s="33">
        <f t="shared" si="51"/>
        <v>0</v>
      </c>
      <c r="F252" s="33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33"/>
      <c r="T252" s="85"/>
    </row>
    <row r="253" spans="1:20" s="6" customFormat="1" ht="16.5" x14ac:dyDescent="0.25">
      <c r="A253" s="63" t="s">
        <v>268</v>
      </c>
      <c r="B253" s="28" t="s">
        <v>64</v>
      </c>
      <c r="C253" s="51">
        <v>225</v>
      </c>
      <c r="D253" s="33">
        <f t="shared" si="50"/>
        <v>252900</v>
      </c>
      <c r="E253" s="33">
        <f t="shared" si="51"/>
        <v>44314.97</v>
      </c>
      <c r="F253" s="33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33">
        <v>252900</v>
      </c>
      <c r="T253" s="85">
        <v>44314.97</v>
      </c>
    </row>
    <row r="254" spans="1:20" s="6" customFormat="1" ht="16.5" x14ac:dyDescent="0.25">
      <c r="A254" s="63" t="s">
        <v>269</v>
      </c>
      <c r="B254" s="28" t="s">
        <v>66</v>
      </c>
      <c r="C254" s="51">
        <v>226</v>
      </c>
      <c r="D254" s="33">
        <f t="shared" si="50"/>
        <v>254500</v>
      </c>
      <c r="E254" s="33">
        <f t="shared" si="51"/>
        <v>50138.47</v>
      </c>
      <c r="F254" s="33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33">
        <v>254500</v>
      </c>
      <c r="T254" s="85">
        <v>50138.47</v>
      </c>
    </row>
    <row r="255" spans="1:20" s="6" customFormat="1" ht="16.5" x14ac:dyDescent="0.25">
      <c r="A255" s="63" t="s">
        <v>270</v>
      </c>
      <c r="B255" s="58" t="s">
        <v>225</v>
      </c>
      <c r="C255" s="51">
        <v>226</v>
      </c>
      <c r="D255" s="33">
        <f t="shared" si="50"/>
        <v>0</v>
      </c>
      <c r="E255" s="33">
        <f t="shared" si="51"/>
        <v>0</v>
      </c>
      <c r="F255" s="33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33"/>
      <c r="T255" s="85"/>
    </row>
    <row r="256" spans="1:20" s="6" customFormat="1" ht="16.5" x14ac:dyDescent="0.25">
      <c r="A256" s="63" t="s">
        <v>271</v>
      </c>
      <c r="B256" s="28" t="s">
        <v>68</v>
      </c>
      <c r="C256" s="51">
        <v>290</v>
      </c>
      <c r="D256" s="33">
        <f t="shared" si="50"/>
        <v>14300</v>
      </c>
      <c r="E256" s="33">
        <f t="shared" si="51"/>
        <v>15820.93</v>
      </c>
      <c r="F256" s="33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33">
        <v>14300</v>
      </c>
      <c r="T256" s="85">
        <v>15820.93</v>
      </c>
    </row>
    <row r="257" spans="1:20" s="6" customFormat="1" ht="16.5" x14ac:dyDescent="0.25">
      <c r="A257" s="63" t="s">
        <v>272</v>
      </c>
      <c r="B257" s="58" t="s">
        <v>72</v>
      </c>
      <c r="C257" s="51">
        <v>310</v>
      </c>
      <c r="D257" s="33">
        <f t="shared" si="50"/>
        <v>55800</v>
      </c>
      <c r="E257" s="33">
        <f t="shared" si="51"/>
        <v>2740</v>
      </c>
      <c r="F257" s="33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33">
        <v>55800</v>
      </c>
      <c r="T257" s="85">
        <v>2740</v>
      </c>
    </row>
    <row r="258" spans="1:20" s="6" customFormat="1" ht="16.5" x14ac:dyDescent="0.25">
      <c r="A258" s="63" t="s">
        <v>273</v>
      </c>
      <c r="B258" s="58" t="s">
        <v>243</v>
      </c>
      <c r="C258" s="51">
        <v>340</v>
      </c>
      <c r="D258" s="33">
        <f t="shared" si="50"/>
        <v>485919.55</v>
      </c>
      <c r="E258" s="33">
        <f t="shared" si="51"/>
        <v>90645.65</v>
      </c>
      <c r="F258" s="33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33">
        <v>485919.55</v>
      </c>
      <c r="T258" s="85">
        <v>90645.65</v>
      </c>
    </row>
    <row r="259" spans="1:20" s="18" customFormat="1" ht="20.25" customHeight="1" x14ac:dyDescent="0.25">
      <c r="A259" s="168" t="s">
        <v>304</v>
      </c>
      <c r="B259" s="168"/>
      <c r="C259" s="49"/>
      <c r="D259" s="34">
        <f t="shared" ref="D259:E259" si="54">SUM(D15+D31-D47)</f>
        <v>0</v>
      </c>
      <c r="E259" s="34">
        <f t="shared" si="54"/>
        <v>5335493.8999999985</v>
      </c>
      <c r="F259" s="34"/>
      <c r="G259" s="34">
        <f t="shared" ref="G259" si="55">SUM(G15+G31-G47)</f>
        <v>0</v>
      </c>
      <c r="H259" s="34">
        <f t="shared" ref="H259:T259" si="56">SUM(H15+H31-H47)</f>
        <v>247270.96999999881</v>
      </c>
      <c r="I259" s="34">
        <f t="shared" si="56"/>
        <v>0</v>
      </c>
      <c r="J259" s="34">
        <f t="shared" si="56"/>
        <v>0</v>
      </c>
      <c r="K259" s="34">
        <f t="shared" si="56"/>
        <v>0</v>
      </c>
      <c r="L259" s="34">
        <f t="shared" si="56"/>
        <v>86632.580000001937</v>
      </c>
      <c r="M259" s="34">
        <f t="shared" si="56"/>
        <v>0</v>
      </c>
      <c r="N259" s="34">
        <f t="shared" si="56"/>
        <v>84</v>
      </c>
      <c r="O259" s="34">
        <f t="shared" si="56"/>
        <v>0</v>
      </c>
      <c r="P259" s="34">
        <f t="shared" si="56"/>
        <v>0</v>
      </c>
      <c r="Q259" s="34">
        <f t="shared" si="56"/>
        <v>0</v>
      </c>
      <c r="R259" s="34">
        <f t="shared" si="56"/>
        <v>0</v>
      </c>
      <c r="S259" s="34">
        <f t="shared" si="56"/>
        <v>0</v>
      </c>
      <c r="T259" s="34">
        <f t="shared" si="56"/>
        <v>5001506.3500000015</v>
      </c>
    </row>
    <row r="260" spans="1:20" s="18" customFormat="1" ht="17.25" x14ac:dyDescent="0.25">
      <c r="A260" s="47" t="s">
        <v>17</v>
      </c>
      <c r="B260" s="48" t="s">
        <v>18</v>
      </c>
      <c r="C260" s="49"/>
      <c r="D260" s="34">
        <f t="shared" ref="D260:E260" si="57">SUM(D261:D263)</f>
        <v>0</v>
      </c>
      <c r="E260" s="34">
        <f t="shared" si="57"/>
        <v>86716.579999998212</v>
      </c>
      <c r="F260" s="34"/>
      <c r="G260" s="34">
        <f>SUM(G261:G263)</f>
        <v>0</v>
      </c>
      <c r="H260" s="34">
        <f t="shared" ref="H260:T260" si="58">SUM(H261:H263)</f>
        <v>0</v>
      </c>
      <c r="I260" s="34">
        <f t="shared" si="58"/>
        <v>0</v>
      </c>
      <c r="J260" s="34">
        <f t="shared" si="58"/>
        <v>0</v>
      </c>
      <c r="K260" s="34">
        <f t="shared" si="58"/>
        <v>0</v>
      </c>
      <c r="L260" s="34">
        <f t="shared" si="58"/>
        <v>86632.580000001937</v>
      </c>
      <c r="M260" s="34">
        <f t="shared" si="58"/>
        <v>0</v>
      </c>
      <c r="N260" s="34">
        <f t="shared" si="58"/>
        <v>84</v>
      </c>
      <c r="O260" s="34">
        <f t="shared" si="58"/>
        <v>0</v>
      </c>
      <c r="P260" s="34">
        <f t="shared" si="58"/>
        <v>0</v>
      </c>
      <c r="Q260" s="34">
        <f t="shared" si="58"/>
        <v>0</v>
      </c>
      <c r="R260" s="34">
        <f t="shared" si="58"/>
        <v>0</v>
      </c>
      <c r="S260" s="34">
        <f t="shared" si="58"/>
        <v>0</v>
      </c>
      <c r="T260" s="34">
        <f t="shared" si="58"/>
        <v>0</v>
      </c>
    </row>
    <row r="261" spans="1:20" s="6" customFormat="1" ht="16.5" x14ac:dyDescent="0.25">
      <c r="A261" s="50" t="s">
        <v>19</v>
      </c>
      <c r="B261" s="28" t="s">
        <v>274</v>
      </c>
      <c r="C261" s="51"/>
      <c r="D261" s="33">
        <f t="shared" ref="D261:E261" si="59">D17+D33-D49</f>
        <v>0</v>
      </c>
      <c r="E261" s="33">
        <f t="shared" si="59"/>
        <v>86716.579999998212</v>
      </c>
      <c r="F261" s="33"/>
      <c r="G261" s="33">
        <f>G17+G33-G49</f>
        <v>0</v>
      </c>
      <c r="H261" s="33">
        <f t="shared" ref="H261:T261" si="60">H17+H33-H49</f>
        <v>0</v>
      </c>
      <c r="I261" s="33">
        <f t="shared" si="60"/>
        <v>0</v>
      </c>
      <c r="J261" s="33">
        <f t="shared" si="60"/>
        <v>0</v>
      </c>
      <c r="K261" s="33">
        <f t="shared" si="60"/>
        <v>0</v>
      </c>
      <c r="L261" s="33">
        <f t="shared" si="60"/>
        <v>86632.580000001937</v>
      </c>
      <c r="M261" s="33">
        <f t="shared" si="60"/>
        <v>0</v>
      </c>
      <c r="N261" s="33">
        <f t="shared" si="60"/>
        <v>84</v>
      </c>
      <c r="O261" s="33">
        <f t="shared" si="60"/>
        <v>0</v>
      </c>
      <c r="P261" s="33">
        <f t="shared" si="60"/>
        <v>0</v>
      </c>
      <c r="Q261" s="33">
        <f t="shared" si="60"/>
        <v>0</v>
      </c>
      <c r="R261" s="33">
        <f t="shared" si="60"/>
        <v>0</v>
      </c>
      <c r="S261" s="33">
        <f t="shared" si="60"/>
        <v>0</v>
      </c>
      <c r="T261" s="33">
        <f t="shared" si="60"/>
        <v>0</v>
      </c>
    </row>
    <row r="262" spans="1:20" s="6" customFormat="1" ht="16.5" x14ac:dyDescent="0.25">
      <c r="A262" s="50" t="s">
        <v>21</v>
      </c>
      <c r="B262" s="28" t="s">
        <v>22</v>
      </c>
      <c r="C262" s="51"/>
      <c r="D262" s="33">
        <f t="shared" ref="D262:E262" si="61">D19+D34-D78</f>
        <v>0</v>
      </c>
      <c r="E262" s="33">
        <f t="shared" si="61"/>
        <v>0</v>
      </c>
      <c r="F262" s="33"/>
      <c r="G262" s="33">
        <f>G19+G34-G78</f>
        <v>0</v>
      </c>
      <c r="H262" s="33">
        <f t="shared" ref="H262:T262" si="62">H19+H34-H78</f>
        <v>0</v>
      </c>
      <c r="I262" s="33">
        <f t="shared" si="62"/>
        <v>0</v>
      </c>
      <c r="J262" s="33">
        <f t="shared" si="62"/>
        <v>0</v>
      </c>
      <c r="K262" s="33">
        <f t="shared" si="62"/>
        <v>0</v>
      </c>
      <c r="L262" s="33">
        <f t="shared" si="62"/>
        <v>0</v>
      </c>
      <c r="M262" s="33">
        <f t="shared" si="62"/>
        <v>0</v>
      </c>
      <c r="N262" s="33">
        <f t="shared" si="62"/>
        <v>0</v>
      </c>
      <c r="O262" s="33">
        <f t="shared" si="62"/>
        <v>0</v>
      </c>
      <c r="P262" s="33">
        <f t="shared" si="62"/>
        <v>0</v>
      </c>
      <c r="Q262" s="33">
        <f t="shared" si="62"/>
        <v>0</v>
      </c>
      <c r="R262" s="33">
        <f t="shared" si="62"/>
        <v>0</v>
      </c>
      <c r="S262" s="33">
        <f t="shared" si="62"/>
        <v>0</v>
      </c>
      <c r="T262" s="33">
        <f t="shared" si="62"/>
        <v>0</v>
      </c>
    </row>
    <row r="263" spans="1:20" s="6" customFormat="1" ht="16.5" x14ac:dyDescent="0.25">
      <c r="A263" s="52"/>
      <c r="B263" s="28"/>
      <c r="C263" s="51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</row>
    <row r="264" spans="1:20" s="18" customFormat="1" ht="17.25" x14ac:dyDescent="0.25">
      <c r="A264" s="53" t="s">
        <v>25</v>
      </c>
      <c r="B264" s="48" t="s">
        <v>26</v>
      </c>
      <c r="C264" s="49"/>
      <c r="D264" s="34">
        <f t="shared" ref="D264:E264" si="63">D20+D36-D84</f>
        <v>0</v>
      </c>
      <c r="E264" s="34">
        <f t="shared" si="63"/>
        <v>247270.96999999997</v>
      </c>
      <c r="F264" s="34"/>
      <c r="G264" s="34">
        <f t="shared" ref="G264:G265" si="64">G20+G36-G84</f>
        <v>0</v>
      </c>
      <c r="H264" s="34">
        <f t="shared" ref="H264:T264" si="65">H20+H36-H84</f>
        <v>247270.96999999997</v>
      </c>
      <c r="I264" s="34">
        <f t="shared" si="65"/>
        <v>0</v>
      </c>
      <c r="J264" s="34">
        <f t="shared" si="65"/>
        <v>0</v>
      </c>
      <c r="K264" s="34">
        <f t="shared" si="65"/>
        <v>0</v>
      </c>
      <c r="L264" s="34">
        <f t="shared" si="65"/>
        <v>0</v>
      </c>
      <c r="M264" s="34">
        <f t="shared" si="65"/>
        <v>0</v>
      </c>
      <c r="N264" s="34">
        <f t="shared" si="65"/>
        <v>0</v>
      </c>
      <c r="O264" s="34">
        <f t="shared" si="65"/>
        <v>0</v>
      </c>
      <c r="P264" s="34">
        <f t="shared" si="65"/>
        <v>0</v>
      </c>
      <c r="Q264" s="34">
        <f t="shared" si="65"/>
        <v>0</v>
      </c>
      <c r="R264" s="34">
        <f t="shared" si="65"/>
        <v>0</v>
      </c>
      <c r="S264" s="34">
        <f t="shared" si="65"/>
        <v>0</v>
      </c>
      <c r="T264" s="34">
        <f t="shared" si="65"/>
        <v>0</v>
      </c>
    </row>
    <row r="265" spans="1:20" s="6" customFormat="1" ht="33" x14ac:dyDescent="0.25">
      <c r="A265" s="73" t="s">
        <v>27</v>
      </c>
      <c r="B265" s="58" t="s">
        <v>302</v>
      </c>
      <c r="C265" s="51"/>
      <c r="D265" s="33">
        <f t="shared" ref="D265:E265" si="66">D21+D37-D85</f>
        <v>0</v>
      </c>
      <c r="E265" s="33">
        <f t="shared" si="66"/>
        <v>247270.96999999997</v>
      </c>
      <c r="F265" s="33"/>
      <c r="G265" s="33">
        <f t="shared" si="64"/>
        <v>0</v>
      </c>
      <c r="H265" s="33">
        <f t="shared" ref="H265:T265" si="67">H21+H37-H85</f>
        <v>247270.96999999997</v>
      </c>
      <c r="I265" s="33">
        <f t="shared" si="67"/>
        <v>0</v>
      </c>
      <c r="J265" s="33">
        <f t="shared" si="67"/>
        <v>0</v>
      </c>
      <c r="K265" s="33">
        <f t="shared" si="67"/>
        <v>0</v>
      </c>
      <c r="L265" s="33">
        <f t="shared" si="67"/>
        <v>0</v>
      </c>
      <c r="M265" s="33">
        <f t="shared" si="67"/>
        <v>0</v>
      </c>
      <c r="N265" s="33">
        <f t="shared" si="67"/>
        <v>0</v>
      </c>
      <c r="O265" s="33">
        <f t="shared" si="67"/>
        <v>0</v>
      </c>
      <c r="P265" s="33">
        <f t="shared" si="67"/>
        <v>0</v>
      </c>
      <c r="Q265" s="33">
        <f t="shared" si="67"/>
        <v>0</v>
      </c>
      <c r="R265" s="33">
        <f t="shared" si="67"/>
        <v>0</v>
      </c>
      <c r="S265" s="33">
        <f t="shared" si="67"/>
        <v>0</v>
      </c>
      <c r="T265" s="33">
        <f t="shared" si="67"/>
        <v>0</v>
      </c>
    </row>
    <row r="266" spans="1:20" s="6" customFormat="1" ht="16.5" x14ac:dyDescent="0.25">
      <c r="A266" s="73" t="s">
        <v>29</v>
      </c>
      <c r="B266" s="58" t="s">
        <v>305</v>
      </c>
      <c r="C266" s="51"/>
      <c r="D266" s="33">
        <f t="shared" ref="D266:E266" si="68">D22+D38-D165</f>
        <v>0</v>
      </c>
      <c r="E266" s="33">
        <f t="shared" si="68"/>
        <v>0</v>
      </c>
      <c r="F266" s="33"/>
      <c r="G266" s="33">
        <f t="shared" ref="G266" si="69">G22+G38-G165</f>
        <v>0</v>
      </c>
      <c r="H266" s="33">
        <f t="shared" ref="H266:T266" si="70">H22+H38-H165</f>
        <v>0</v>
      </c>
      <c r="I266" s="33">
        <f t="shared" si="70"/>
        <v>0</v>
      </c>
      <c r="J266" s="33">
        <f t="shared" si="70"/>
        <v>0</v>
      </c>
      <c r="K266" s="33">
        <f t="shared" si="70"/>
        <v>0</v>
      </c>
      <c r="L266" s="33">
        <f t="shared" si="70"/>
        <v>0</v>
      </c>
      <c r="M266" s="33">
        <f t="shared" si="70"/>
        <v>0</v>
      </c>
      <c r="N266" s="33">
        <f t="shared" si="70"/>
        <v>0</v>
      </c>
      <c r="O266" s="33">
        <f t="shared" si="70"/>
        <v>0</v>
      </c>
      <c r="P266" s="33">
        <f t="shared" si="70"/>
        <v>0</v>
      </c>
      <c r="Q266" s="33">
        <f t="shared" si="70"/>
        <v>0</v>
      </c>
      <c r="R266" s="33">
        <f t="shared" si="70"/>
        <v>0</v>
      </c>
      <c r="S266" s="33">
        <f t="shared" si="70"/>
        <v>0</v>
      </c>
      <c r="T266" s="33">
        <f t="shared" si="70"/>
        <v>0</v>
      </c>
    </row>
    <row r="267" spans="1:20" s="6" customFormat="1" ht="33" x14ac:dyDescent="0.25">
      <c r="A267" s="73" t="s">
        <v>31</v>
      </c>
      <c r="B267" s="28" t="s">
        <v>301</v>
      </c>
      <c r="C267" s="51"/>
      <c r="D267" s="33">
        <f t="shared" ref="D267:E267" si="71">D23+D39-D168</f>
        <v>0</v>
      </c>
      <c r="E267" s="33">
        <f t="shared" si="71"/>
        <v>0</v>
      </c>
      <c r="F267" s="33"/>
      <c r="G267" s="33">
        <f t="shared" ref="G267" si="72">G23+G39-G168</f>
        <v>0</v>
      </c>
      <c r="H267" s="33">
        <f t="shared" ref="H267:T267" si="73">H23+H39-H168</f>
        <v>0</v>
      </c>
      <c r="I267" s="33">
        <f t="shared" si="73"/>
        <v>0</v>
      </c>
      <c r="J267" s="33">
        <f t="shared" si="73"/>
        <v>0</v>
      </c>
      <c r="K267" s="33">
        <f t="shared" si="73"/>
        <v>0</v>
      </c>
      <c r="L267" s="33">
        <f t="shared" si="73"/>
        <v>0</v>
      </c>
      <c r="M267" s="33">
        <f t="shared" si="73"/>
        <v>0</v>
      </c>
      <c r="N267" s="33">
        <f t="shared" si="73"/>
        <v>0</v>
      </c>
      <c r="O267" s="33">
        <f t="shared" si="73"/>
        <v>0</v>
      </c>
      <c r="P267" s="33">
        <f t="shared" si="73"/>
        <v>0</v>
      </c>
      <c r="Q267" s="33">
        <f t="shared" si="73"/>
        <v>0</v>
      </c>
      <c r="R267" s="33">
        <f t="shared" si="73"/>
        <v>0</v>
      </c>
      <c r="S267" s="33">
        <f t="shared" si="73"/>
        <v>0</v>
      </c>
      <c r="T267" s="33">
        <f t="shared" si="73"/>
        <v>0</v>
      </c>
    </row>
    <row r="268" spans="1:20" s="6" customFormat="1" ht="16.5" x14ac:dyDescent="0.25">
      <c r="A268" s="73" t="s">
        <v>33</v>
      </c>
      <c r="B268" s="58" t="s">
        <v>306</v>
      </c>
      <c r="C268" s="51"/>
      <c r="D268" s="33">
        <f t="shared" ref="D268:E268" si="74">D24+D40-D174</f>
        <v>0</v>
      </c>
      <c r="E268" s="33">
        <f t="shared" si="74"/>
        <v>0</v>
      </c>
      <c r="F268" s="33"/>
      <c r="G268" s="33">
        <f t="shared" ref="G268" si="75">G24+G40-G174</f>
        <v>0</v>
      </c>
      <c r="H268" s="33">
        <f t="shared" ref="H268:T268" si="76">H24+H40-H174</f>
        <v>0</v>
      </c>
      <c r="I268" s="33">
        <f t="shared" si="76"/>
        <v>0</v>
      </c>
      <c r="J268" s="33">
        <f t="shared" si="76"/>
        <v>0</v>
      </c>
      <c r="K268" s="33">
        <f t="shared" si="76"/>
        <v>0</v>
      </c>
      <c r="L268" s="33">
        <f t="shared" si="76"/>
        <v>0</v>
      </c>
      <c r="M268" s="33">
        <f t="shared" si="76"/>
        <v>0</v>
      </c>
      <c r="N268" s="33">
        <f t="shared" si="76"/>
        <v>0</v>
      </c>
      <c r="O268" s="33">
        <f t="shared" si="76"/>
        <v>0</v>
      </c>
      <c r="P268" s="33">
        <f t="shared" si="76"/>
        <v>0</v>
      </c>
      <c r="Q268" s="33">
        <f t="shared" si="76"/>
        <v>0</v>
      </c>
      <c r="R268" s="33">
        <f t="shared" si="76"/>
        <v>0</v>
      </c>
      <c r="S268" s="33">
        <f t="shared" si="76"/>
        <v>0</v>
      </c>
      <c r="T268" s="33">
        <f t="shared" si="76"/>
        <v>0</v>
      </c>
    </row>
    <row r="269" spans="1:20" s="6" customFormat="1" ht="33" x14ac:dyDescent="0.25">
      <c r="A269" s="73" t="s">
        <v>35</v>
      </c>
      <c r="B269" s="58" t="s">
        <v>307</v>
      </c>
      <c r="C269" s="51"/>
      <c r="D269" s="33">
        <f t="shared" ref="D269:E269" si="77">D25+D41-D180</f>
        <v>0</v>
      </c>
      <c r="E269" s="33">
        <f t="shared" si="77"/>
        <v>0</v>
      </c>
      <c r="F269" s="33"/>
      <c r="G269" s="33">
        <f t="shared" ref="G269" si="78">G25+G41-G180</f>
        <v>0</v>
      </c>
      <c r="H269" s="33">
        <f t="shared" ref="H269:T269" si="79">H25+H41-H180</f>
        <v>0</v>
      </c>
      <c r="I269" s="33">
        <f t="shared" si="79"/>
        <v>0</v>
      </c>
      <c r="J269" s="33">
        <f t="shared" si="79"/>
        <v>0</v>
      </c>
      <c r="K269" s="33">
        <f t="shared" si="79"/>
        <v>0</v>
      </c>
      <c r="L269" s="33">
        <f t="shared" si="79"/>
        <v>0</v>
      </c>
      <c r="M269" s="33">
        <f t="shared" si="79"/>
        <v>0</v>
      </c>
      <c r="N269" s="33">
        <f t="shared" si="79"/>
        <v>0</v>
      </c>
      <c r="O269" s="33">
        <f t="shared" si="79"/>
        <v>0</v>
      </c>
      <c r="P269" s="33">
        <f t="shared" si="79"/>
        <v>0</v>
      </c>
      <c r="Q269" s="33">
        <f t="shared" si="79"/>
        <v>0</v>
      </c>
      <c r="R269" s="33">
        <f t="shared" si="79"/>
        <v>0</v>
      </c>
      <c r="S269" s="33">
        <f t="shared" si="79"/>
        <v>0</v>
      </c>
      <c r="T269" s="33">
        <f t="shared" si="79"/>
        <v>0</v>
      </c>
    </row>
    <row r="270" spans="1:20" s="18" customFormat="1" ht="17.25" x14ac:dyDescent="0.25">
      <c r="A270" s="47">
        <v>3</v>
      </c>
      <c r="B270" s="62" t="s">
        <v>37</v>
      </c>
      <c r="C270" s="49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</row>
    <row r="271" spans="1:20" s="18" customFormat="1" ht="17.25" x14ac:dyDescent="0.25">
      <c r="A271" s="47">
        <v>4</v>
      </c>
      <c r="B271" s="62" t="s">
        <v>38</v>
      </c>
      <c r="C271" s="49"/>
      <c r="D271" s="34">
        <f t="shared" ref="D271:E271" si="80">D27+D43-D187</f>
        <v>0</v>
      </c>
      <c r="E271" s="34">
        <f t="shared" si="80"/>
        <v>326042.13000000012</v>
      </c>
      <c r="F271" s="34"/>
      <c r="G271" s="34">
        <f t="shared" ref="G271" si="81">G27+G43-G187</f>
        <v>0</v>
      </c>
      <c r="H271" s="34">
        <f t="shared" ref="H271:T271" si="82">H27+H43-H187</f>
        <v>0</v>
      </c>
      <c r="I271" s="34">
        <f t="shared" si="82"/>
        <v>0</v>
      </c>
      <c r="J271" s="34">
        <f t="shared" si="82"/>
        <v>0</v>
      </c>
      <c r="K271" s="34">
        <f t="shared" si="82"/>
        <v>0</v>
      </c>
      <c r="L271" s="34">
        <f t="shared" si="82"/>
        <v>0</v>
      </c>
      <c r="M271" s="34">
        <f t="shared" si="82"/>
        <v>0</v>
      </c>
      <c r="N271" s="34">
        <f t="shared" si="82"/>
        <v>0</v>
      </c>
      <c r="O271" s="34">
        <f t="shared" si="82"/>
        <v>0</v>
      </c>
      <c r="P271" s="34">
        <f t="shared" si="82"/>
        <v>0</v>
      </c>
      <c r="Q271" s="34">
        <f t="shared" si="82"/>
        <v>0</v>
      </c>
      <c r="R271" s="34">
        <f t="shared" si="82"/>
        <v>0</v>
      </c>
      <c r="S271" s="34">
        <f t="shared" si="82"/>
        <v>0</v>
      </c>
      <c r="T271" s="34">
        <f t="shared" si="82"/>
        <v>326042.13000000012</v>
      </c>
    </row>
    <row r="272" spans="1:20" s="18" customFormat="1" ht="17.25" x14ac:dyDescent="0.25">
      <c r="A272" s="47">
        <v>5</v>
      </c>
      <c r="B272" s="62" t="s">
        <v>39</v>
      </c>
      <c r="C272" s="49"/>
      <c r="D272" s="34">
        <f t="shared" ref="D272:E272" si="83">D28+D44-D206</f>
        <v>0</v>
      </c>
      <c r="E272" s="34">
        <f t="shared" si="83"/>
        <v>0</v>
      </c>
      <c r="F272" s="34"/>
      <c r="G272" s="34">
        <f t="shared" ref="G272" si="84">G28+G44-G206</f>
        <v>0</v>
      </c>
      <c r="H272" s="34">
        <f t="shared" ref="H272:T272" si="85">H28+H44-H206</f>
        <v>0</v>
      </c>
      <c r="I272" s="34">
        <f t="shared" si="85"/>
        <v>0</v>
      </c>
      <c r="J272" s="34">
        <f t="shared" si="85"/>
        <v>0</v>
      </c>
      <c r="K272" s="34">
        <f t="shared" si="85"/>
        <v>0</v>
      </c>
      <c r="L272" s="34">
        <f t="shared" si="85"/>
        <v>0</v>
      </c>
      <c r="M272" s="34">
        <f t="shared" si="85"/>
        <v>0</v>
      </c>
      <c r="N272" s="34">
        <f t="shared" si="85"/>
        <v>0</v>
      </c>
      <c r="O272" s="34">
        <f t="shared" si="85"/>
        <v>0</v>
      </c>
      <c r="P272" s="34">
        <f t="shared" si="85"/>
        <v>0</v>
      </c>
      <c r="Q272" s="34">
        <f t="shared" si="85"/>
        <v>0</v>
      </c>
      <c r="R272" s="34">
        <f t="shared" si="85"/>
        <v>0</v>
      </c>
      <c r="S272" s="34">
        <f t="shared" si="85"/>
        <v>0</v>
      </c>
      <c r="T272" s="34">
        <f t="shared" si="85"/>
        <v>0</v>
      </c>
    </row>
    <row r="273" spans="1:20" s="18" customFormat="1" ht="17.25" x14ac:dyDescent="0.25">
      <c r="A273" s="47">
        <v>6</v>
      </c>
      <c r="B273" s="62" t="s">
        <v>40</v>
      </c>
      <c r="C273" s="49"/>
      <c r="D273" s="34">
        <f t="shared" ref="D273:E273" si="86">D29+D45-D223</f>
        <v>0</v>
      </c>
      <c r="E273" s="34">
        <f t="shared" si="86"/>
        <v>4416216.8100000024</v>
      </c>
      <c r="F273" s="34"/>
      <c r="G273" s="34">
        <f>G29+G45-G223</f>
        <v>0</v>
      </c>
      <c r="H273" s="34">
        <f t="shared" ref="H273:T273" si="87">H29+H45-H223</f>
        <v>0</v>
      </c>
      <c r="I273" s="34">
        <f t="shared" si="87"/>
        <v>0</v>
      </c>
      <c r="J273" s="34">
        <f t="shared" si="87"/>
        <v>0</v>
      </c>
      <c r="K273" s="34">
        <f t="shared" si="87"/>
        <v>0</v>
      </c>
      <c r="L273" s="34">
        <f t="shared" si="87"/>
        <v>0</v>
      </c>
      <c r="M273" s="34">
        <f t="shared" si="87"/>
        <v>0</v>
      </c>
      <c r="N273" s="34">
        <f t="shared" si="87"/>
        <v>0</v>
      </c>
      <c r="O273" s="34">
        <f t="shared" si="87"/>
        <v>0</v>
      </c>
      <c r="P273" s="34">
        <f t="shared" si="87"/>
        <v>0</v>
      </c>
      <c r="Q273" s="34">
        <f t="shared" si="87"/>
        <v>0</v>
      </c>
      <c r="R273" s="34">
        <f t="shared" si="87"/>
        <v>0</v>
      </c>
      <c r="S273" s="34">
        <f t="shared" si="87"/>
        <v>0</v>
      </c>
      <c r="T273" s="34">
        <f t="shared" si="87"/>
        <v>4416216.8100000024</v>
      </c>
    </row>
    <row r="274" spans="1:20" s="18" customFormat="1" ht="17.25" x14ac:dyDescent="0.25">
      <c r="A274" s="47">
        <v>7</v>
      </c>
      <c r="B274" s="62" t="s">
        <v>41</v>
      </c>
      <c r="C274" s="49"/>
      <c r="D274" s="34">
        <f t="shared" ref="D274:E274" si="88">D30+D46-D241</f>
        <v>0</v>
      </c>
      <c r="E274" s="34">
        <f t="shared" si="88"/>
        <v>259247.41</v>
      </c>
      <c r="F274" s="34"/>
      <c r="G274" s="34">
        <f>G30+G46-G241</f>
        <v>0</v>
      </c>
      <c r="H274" s="34">
        <f t="shared" ref="H274:T274" si="89">H30+H46-H241</f>
        <v>0</v>
      </c>
      <c r="I274" s="34">
        <f t="shared" si="89"/>
        <v>0</v>
      </c>
      <c r="J274" s="34">
        <f t="shared" si="89"/>
        <v>0</v>
      </c>
      <c r="K274" s="34">
        <f t="shared" si="89"/>
        <v>0</v>
      </c>
      <c r="L274" s="34">
        <f t="shared" si="89"/>
        <v>0</v>
      </c>
      <c r="M274" s="34">
        <f t="shared" si="89"/>
        <v>0</v>
      </c>
      <c r="N274" s="34">
        <f t="shared" si="89"/>
        <v>0</v>
      </c>
      <c r="O274" s="34">
        <f t="shared" si="89"/>
        <v>0</v>
      </c>
      <c r="P274" s="34">
        <f t="shared" si="89"/>
        <v>0</v>
      </c>
      <c r="Q274" s="34">
        <f t="shared" si="89"/>
        <v>0</v>
      </c>
      <c r="R274" s="34">
        <f t="shared" si="89"/>
        <v>0</v>
      </c>
      <c r="S274" s="34">
        <f t="shared" si="89"/>
        <v>0</v>
      </c>
      <c r="T274" s="34">
        <f t="shared" si="89"/>
        <v>259247.41</v>
      </c>
    </row>
  </sheetData>
  <mergeCells count="23">
    <mergeCell ref="O13:P13"/>
    <mergeCell ref="A15:B15"/>
    <mergeCell ref="A31:B31"/>
    <mergeCell ref="A47:B47"/>
    <mergeCell ref="A259:B259"/>
    <mergeCell ref="A11:A14"/>
    <mergeCell ref="B11:B14"/>
    <mergeCell ref="A8:T8"/>
    <mergeCell ref="Q13:R13"/>
    <mergeCell ref="A7:T7"/>
    <mergeCell ref="A9:S9"/>
    <mergeCell ref="M1:U1"/>
    <mergeCell ref="M2:U2"/>
    <mergeCell ref="M3:U3"/>
    <mergeCell ref="C11:C14"/>
    <mergeCell ref="D11:E13"/>
    <mergeCell ref="G11:T11"/>
    <mergeCell ref="G12:H13"/>
    <mergeCell ref="I12:R12"/>
    <mergeCell ref="S12:T13"/>
    <mergeCell ref="I13:J13"/>
    <mergeCell ref="K13:L13"/>
    <mergeCell ref="M13:N13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45" orientation="landscape" horizontalDpi="180" verticalDpi="180" r:id="rId1"/>
  <rowBreaks count="1" manualBreakCount="1">
    <brk id="46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274"/>
  <sheetViews>
    <sheetView view="pageBreakPreview" topLeftCell="A231" zoomScale="70" zoomScaleNormal="80" zoomScaleSheetLayoutView="70" workbookViewId="0">
      <selection activeCell="H84" sqref="H84"/>
    </sheetView>
  </sheetViews>
  <sheetFormatPr defaultRowHeight="15" x14ac:dyDescent="0.25"/>
  <cols>
    <col min="1" max="1" width="9" customWidth="1"/>
    <col min="2" max="2" width="74.85546875" customWidth="1"/>
    <col min="3" max="3" width="11.42578125" customWidth="1"/>
    <col min="4" max="4" width="19.7109375" bestFit="1" customWidth="1"/>
    <col min="5" max="6" width="18.140625" customWidth="1"/>
    <col min="7" max="7" width="19.7109375" bestFit="1" customWidth="1"/>
    <col min="8" max="8" width="16.85546875" bestFit="1" customWidth="1"/>
    <col min="9" max="9" width="11.28515625" customWidth="1"/>
    <col min="10" max="10" width="12.28515625" bestFit="1" customWidth="1"/>
    <col min="11" max="12" width="17.7109375" bestFit="1" customWidth="1"/>
    <col min="13" max="14" width="13.140625" bestFit="1" customWidth="1"/>
    <col min="15" max="15" width="6.42578125" bestFit="1" customWidth="1"/>
    <col min="16" max="16" width="12.28515625" bestFit="1" customWidth="1"/>
    <col min="17" max="17" width="6.42578125" bestFit="1" customWidth="1"/>
    <col min="18" max="18" width="12.28515625" bestFit="1" customWidth="1"/>
    <col min="19" max="20" width="17.7109375" bestFit="1" customWidth="1"/>
  </cols>
  <sheetData>
    <row r="1" spans="1:28" s="6" customFormat="1" ht="33" hidden="1" x14ac:dyDescent="0.25">
      <c r="A1" s="1"/>
      <c r="B1" s="2"/>
      <c r="C1" s="3"/>
      <c r="D1" s="3"/>
      <c r="E1" s="3"/>
      <c r="F1" s="3"/>
      <c r="G1" s="4"/>
      <c r="H1" s="4"/>
      <c r="I1" s="5"/>
      <c r="J1" s="5"/>
      <c r="K1" s="5"/>
      <c r="L1" s="5"/>
      <c r="M1" s="170" t="s">
        <v>0</v>
      </c>
      <c r="N1" s="170"/>
      <c r="O1" s="170"/>
      <c r="P1" s="170"/>
      <c r="Q1" s="170"/>
      <c r="R1" s="170"/>
      <c r="S1" s="170"/>
      <c r="T1" s="170"/>
      <c r="U1" s="170"/>
    </row>
    <row r="2" spans="1:28" s="6" customFormat="1" ht="33" hidden="1" x14ac:dyDescent="0.25">
      <c r="A2" s="1"/>
      <c r="B2" s="2"/>
      <c r="C2" s="3"/>
      <c r="D2" s="3"/>
      <c r="E2" s="3"/>
      <c r="F2" s="3"/>
      <c r="G2" s="3"/>
      <c r="H2" s="3"/>
      <c r="I2" s="5"/>
      <c r="J2" s="5"/>
      <c r="K2" s="5"/>
      <c r="L2" s="5"/>
      <c r="M2" s="170" t="s">
        <v>1</v>
      </c>
      <c r="N2" s="170"/>
      <c r="O2" s="170"/>
      <c r="P2" s="170"/>
      <c r="Q2" s="170"/>
      <c r="R2" s="170"/>
      <c r="S2" s="170"/>
      <c r="T2" s="170"/>
      <c r="U2" s="170"/>
    </row>
    <row r="3" spans="1:28" s="6" customFormat="1" ht="33" hidden="1" x14ac:dyDescent="0.25">
      <c r="A3" s="1"/>
      <c r="B3" s="2"/>
      <c r="C3" s="3"/>
      <c r="D3" s="3"/>
      <c r="E3" s="3"/>
      <c r="F3" s="3"/>
      <c r="G3" s="3"/>
      <c r="H3" s="3"/>
      <c r="I3" s="5"/>
      <c r="J3" s="5"/>
      <c r="K3" s="5"/>
      <c r="L3" s="5"/>
      <c r="M3" s="170" t="s">
        <v>2</v>
      </c>
      <c r="N3" s="170"/>
      <c r="O3" s="170"/>
      <c r="P3" s="170"/>
      <c r="Q3" s="170"/>
      <c r="R3" s="170"/>
      <c r="S3" s="170"/>
      <c r="T3" s="170"/>
      <c r="U3" s="170"/>
    </row>
    <row r="4" spans="1:28" s="6" customFormat="1" ht="33" hidden="1" x14ac:dyDescent="0.25">
      <c r="A4" s="1"/>
      <c r="B4" s="2"/>
      <c r="C4" s="3"/>
      <c r="D4" s="3"/>
      <c r="E4" s="3"/>
      <c r="F4" s="3"/>
      <c r="G4" s="4"/>
      <c r="H4" s="4"/>
      <c r="I4" s="7"/>
      <c r="J4" s="7"/>
      <c r="K4" s="7"/>
      <c r="L4" s="7"/>
      <c r="M4" s="8"/>
      <c r="N4" s="8"/>
      <c r="O4" s="8"/>
      <c r="P4" s="8"/>
      <c r="Q4" s="8"/>
      <c r="R4" s="8"/>
      <c r="S4" s="8"/>
      <c r="T4" s="8"/>
    </row>
    <row r="5" spans="1:28" s="6" customFormat="1" ht="16.5" x14ac:dyDescent="0.25">
      <c r="A5" s="9"/>
      <c r="B5" s="10"/>
      <c r="C5" s="11"/>
    </row>
    <row r="6" spans="1:28" s="6" customFormat="1" ht="16.5" x14ac:dyDescent="0.25">
      <c r="A6" s="9"/>
      <c r="B6" s="10"/>
      <c r="C6" s="11"/>
    </row>
    <row r="7" spans="1:28" s="6" customFormat="1" ht="102" customHeight="1" x14ac:dyDescent="0.25">
      <c r="A7" s="171" t="s">
        <v>303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</row>
    <row r="8" spans="1:28" s="6" customFormat="1" ht="57.75" customHeight="1" x14ac:dyDescent="0.25">
      <c r="A8" s="167" t="s">
        <v>275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35"/>
      <c r="V8" s="35"/>
      <c r="W8" s="35"/>
      <c r="X8" s="35"/>
      <c r="Y8" s="35"/>
      <c r="Z8" s="35"/>
      <c r="AA8" s="35"/>
      <c r="AB8" s="35"/>
    </row>
    <row r="9" spans="1:28" s="6" customFormat="1" ht="19.5" customHeight="1" x14ac:dyDescent="0.5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</row>
    <row r="10" spans="1:28" s="6" customFormat="1" ht="2.25" hidden="1" customHeight="1" x14ac:dyDescent="0.3">
      <c r="A10" s="9"/>
      <c r="B10" s="10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28" s="15" customFormat="1" ht="16.5" customHeight="1" x14ac:dyDescent="0.25">
      <c r="A11" s="158" t="s">
        <v>4</v>
      </c>
      <c r="B11" s="159" t="s">
        <v>5</v>
      </c>
      <c r="C11" s="158" t="s">
        <v>6</v>
      </c>
      <c r="D11" s="166" t="s">
        <v>7</v>
      </c>
      <c r="E11" s="166"/>
      <c r="F11" s="87"/>
      <c r="G11" s="166" t="s">
        <v>8</v>
      </c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</row>
    <row r="12" spans="1:28" s="16" customFormat="1" ht="20.25" customHeight="1" x14ac:dyDescent="0.25">
      <c r="A12" s="158"/>
      <c r="B12" s="159"/>
      <c r="C12" s="158"/>
      <c r="D12" s="166"/>
      <c r="E12" s="166"/>
      <c r="F12" s="87"/>
      <c r="G12" s="165" t="s">
        <v>9</v>
      </c>
      <c r="H12" s="165"/>
      <c r="I12" s="158" t="s">
        <v>10</v>
      </c>
      <c r="J12" s="158"/>
      <c r="K12" s="158"/>
      <c r="L12" s="158"/>
      <c r="M12" s="158"/>
      <c r="N12" s="158"/>
      <c r="O12" s="158"/>
      <c r="P12" s="158"/>
      <c r="Q12" s="158"/>
      <c r="R12" s="158"/>
      <c r="S12" s="165" t="s">
        <v>11</v>
      </c>
      <c r="T12" s="165"/>
    </row>
    <row r="13" spans="1:28" s="17" customFormat="1" ht="49.5" customHeight="1" x14ac:dyDescent="0.25">
      <c r="A13" s="158"/>
      <c r="B13" s="159"/>
      <c r="C13" s="158"/>
      <c r="D13" s="166"/>
      <c r="E13" s="166"/>
      <c r="F13" s="87"/>
      <c r="G13" s="165"/>
      <c r="H13" s="165"/>
      <c r="I13" s="158" t="s">
        <v>12</v>
      </c>
      <c r="J13" s="158"/>
      <c r="K13" s="158" t="s">
        <v>13</v>
      </c>
      <c r="L13" s="158"/>
      <c r="M13" s="158" t="s">
        <v>14</v>
      </c>
      <c r="N13" s="158"/>
      <c r="O13" s="158" t="s">
        <v>15</v>
      </c>
      <c r="P13" s="158"/>
      <c r="Q13" s="158" t="s">
        <v>278</v>
      </c>
      <c r="R13" s="158"/>
      <c r="S13" s="165"/>
      <c r="T13" s="165"/>
    </row>
    <row r="14" spans="1:28" s="17" customFormat="1" ht="24" customHeight="1" x14ac:dyDescent="0.25">
      <c r="A14" s="158"/>
      <c r="B14" s="159"/>
      <c r="C14" s="158"/>
      <c r="D14" s="44" t="s">
        <v>295</v>
      </c>
      <c r="E14" s="44" t="s">
        <v>296</v>
      </c>
      <c r="F14" s="87"/>
      <c r="G14" s="45" t="s">
        <v>295</v>
      </c>
      <c r="H14" s="45" t="s">
        <v>296</v>
      </c>
      <c r="I14" s="45" t="s">
        <v>295</v>
      </c>
      <c r="J14" s="45" t="s">
        <v>296</v>
      </c>
      <c r="K14" s="45" t="s">
        <v>295</v>
      </c>
      <c r="L14" s="45" t="s">
        <v>296</v>
      </c>
      <c r="M14" s="45" t="s">
        <v>295</v>
      </c>
      <c r="N14" s="45" t="s">
        <v>296</v>
      </c>
      <c r="O14" s="45" t="s">
        <v>295</v>
      </c>
      <c r="P14" s="45" t="s">
        <v>296</v>
      </c>
      <c r="Q14" s="45" t="s">
        <v>295</v>
      </c>
      <c r="R14" s="45" t="s">
        <v>296</v>
      </c>
      <c r="S14" s="45" t="s">
        <v>295</v>
      </c>
      <c r="T14" s="45" t="s">
        <v>296</v>
      </c>
    </row>
    <row r="15" spans="1:28" s="18" customFormat="1" ht="20.25" x14ac:dyDescent="0.25">
      <c r="A15" s="168" t="s">
        <v>16</v>
      </c>
      <c r="B15" s="168"/>
      <c r="C15" s="46"/>
      <c r="D15" s="34">
        <f t="shared" ref="D15:S15" si="0">SUM(D16+D20+D26+D27+D28+D29+D30)</f>
        <v>31358970.830000002</v>
      </c>
      <c r="E15" s="34">
        <f t="shared" ref="E15:J15" si="1">SUM(E16+E20+E26+E27+E28+E29+E30)</f>
        <v>31358970.830000002</v>
      </c>
      <c r="F15" s="34"/>
      <c r="G15" s="34">
        <f t="shared" si="1"/>
        <v>33</v>
      </c>
      <c r="H15" s="34">
        <f t="shared" si="1"/>
        <v>33</v>
      </c>
      <c r="I15" s="34">
        <f t="shared" si="1"/>
        <v>0</v>
      </c>
      <c r="J15" s="34">
        <f t="shared" si="1"/>
        <v>0</v>
      </c>
      <c r="K15" s="34">
        <f t="shared" si="0"/>
        <v>0</v>
      </c>
      <c r="L15" s="34"/>
      <c r="M15" s="34">
        <f t="shared" si="0"/>
        <v>0</v>
      </c>
      <c r="N15" s="34"/>
      <c r="O15" s="34">
        <f t="shared" si="0"/>
        <v>0</v>
      </c>
      <c r="P15" s="34"/>
      <c r="Q15" s="34"/>
      <c r="R15" s="34"/>
      <c r="S15" s="34">
        <f t="shared" si="0"/>
        <v>31358937.830000002</v>
      </c>
      <c r="T15" s="34">
        <f t="shared" ref="T15" si="2">SUM(T16+T20+T26+T27+T28+T29+T30)</f>
        <v>31358937.830000002</v>
      </c>
    </row>
    <row r="16" spans="1:28" s="18" customFormat="1" ht="17.25" x14ac:dyDescent="0.25">
      <c r="A16" s="47" t="s">
        <v>17</v>
      </c>
      <c r="B16" s="48" t="s">
        <v>18</v>
      </c>
      <c r="C16" s="49"/>
      <c r="D16" s="34">
        <f>SUM(G16:S16)</f>
        <v>0</v>
      </c>
      <c r="E16" s="34">
        <f>SUM(H16:T16)</f>
        <v>0</v>
      </c>
      <c r="F16" s="34"/>
      <c r="G16" s="34">
        <f t="shared" ref="G16:J16" si="3">SUM(I16:U16)</f>
        <v>0</v>
      </c>
      <c r="H16" s="34">
        <f t="shared" si="3"/>
        <v>0</v>
      </c>
      <c r="I16" s="34">
        <f t="shared" si="3"/>
        <v>0</v>
      </c>
      <c r="J16" s="34">
        <f t="shared" si="3"/>
        <v>0</v>
      </c>
      <c r="K16" s="34">
        <f>SUM(K17:K19)</f>
        <v>0</v>
      </c>
      <c r="L16" s="34"/>
      <c r="M16" s="34">
        <f>SUM(M17:M19)</f>
        <v>0</v>
      </c>
      <c r="N16" s="34"/>
      <c r="O16" s="34">
        <f>SUM(O17:O19)</f>
        <v>0</v>
      </c>
      <c r="P16" s="34"/>
      <c r="Q16" s="34"/>
      <c r="R16" s="34"/>
      <c r="S16" s="34"/>
      <c r="T16" s="34"/>
    </row>
    <row r="17" spans="1:20" s="6" customFormat="1" ht="16.5" x14ac:dyDescent="0.25">
      <c r="A17" s="50" t="s">
        <v>19</v>
      </c>
      <c r="B17" s="28" t="s">
        <v>20</v>
      </c>
      <c r="C17" s="51"/>
      <c r="D17" s="33">
        <f>SUM(G17+I17+K17+M17+O17+Q17+S17)</f>
        <v>0</v>
      </c>
      <c r="E17" s="33">
        <f>SUM(H17+J17+L17+N17+P17+R17+T17)</f>
        <v>0</v>
      </c>
      <c r="F17" s="33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1:20" s="6" customFormat="1" ht="16.5" x14ac:dyDescent="0.25">
      <c r="A18" s="50" t="s">
        <v>21</v>
      </c>
      <c r="B18" s="28" t="s">
        <v>22</v>
      </c>
      <c r="C18" s="51"/>
      <c r="D18" s="33">
        <f t="shared" ref="D18:D81" si="4">SUM(G18+I18+K18+M18+O18+Q18+S18)</f>
        <v>0</v>
      </c>
      <c r="E18" s="33">
        <f t="shared" ref="E18:E81" si="5">SUM(H18+J18+L18+N18+P18+R18+T18)</f>
        <v>0</v>
      </c>
      <c r="F18" s="33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s="6" customFormat="1" ht="16.5" hidden="1" x14ac:dyDescent="0.25">
      <c r="A19" s="52"/>
      <c r="B19" s="28"/>
      <c r="C19" s="51"/>
      <c r="D19" s="33">
        <f t="shared" si="4"/>
        <v>0</v>
      </c>
      <c r="E19" s="33">
        <f t="shared" si="5"/>
        <v>0</v>
      </c>
      <c r="F19" s="33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s="20" customFormat="1" ht="17.25" x14ac:dyDescent="0.25">
      <c r="A20" s="53" t="s">
        <v>25</v>
      </c>
      <c r="B20" s="48" t="s">
        <v>26</v>
      </c>
      <c r="C20" s="54"/>
      <c r="D20" s="34">
        <f t="shared" si="4"/>
        <v>33</v>
      </c>
      <c r="E20" s="34">
        <f t="shared" si="5"/>
        <v>33</v>
      </c>
      <c r="F20" s="34"/>
      <c r="G20" s="25">
        <f>SUM(G21:G25)</f>
        <v>33</v>
      </c>
      <c r="H20" s="25">
        <f t="shared" ref="H20:I20" si="6">SUM(H21:H25)</f>
        <v>33</v>
      </c>
      <c r="I20" s="25">
        <f t="shared" si="6"/>
        <v>0</v>
      </c>
      <c r="J20" s="25"/>
      <c r="K20" s="25">
        <f>SUM(K21:K25)</f>
        <v>0</v>
      </c>
      <c r="L20" s="25"/>
      <c r="M20" s="25">
        <f>SUM(M21:M25)</f>
        <v>0</v>
      </c>
      <c r="N20" s="25"/>
      <c r="O20" s="25">
        <f>SUM(O21:O25)</f>
        <v>0</v>
      </c>
      <c r="P20" s="25"/>
      <c r="Q20" s="25"/>
      <c r="R20" s="25"/>
      <c r="S20" s="25"/>
      <c r="T20" s="25"/>
    </row>
    <row r="21" spans="1:20" s="22" customFormat="1" ht="33" x14ac:dyDescent="0.25">
      <c r="A21" s="50" t="s">
        <v>27</v>
      </c>
      <c r="B21" s="28" t="s">
        <v>28</v>
      </c>
      <c r="C21" s="55"/>
      <c r="D21" s="33">
        <f t="shared" si="4"/>
        <v>33</v>
      </c>
      <c r="E21" s="33">
        <f t="shared" si="5"/>
        <v>33</v>
      </c>
      <c r="F21" s="33"/>
      <c r="G21" s="38">
        <v>33</v>
      </c>
      <c r="H21" s="38">
        <v>33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</row>
    <row r="22" spans="1:20" s="22" customFormat="1" ht="33" x14ac:dyDescent="0.25">
      <c r="A22" s="50" t="s">
        <v>29</v>
      </c>
      <c r="B22" s="28" t="s">
        <v>30</v>
      </c>
      <c r="C22" s="55"/>
      <c r="D22" s="33">
        <f t="shared" si="4"/>
        <v>0</v>
      </c>
      <c r="E22" s="33">
        <f t="shared" si="5"/>
        <v>0</v>
      </c>
      <c r="F22" s="3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20" s="22" customFormat="1" ht="48" x14ac:dyDescent="0.25">
      <c r="A23" s="50" t="s">
        <v>31</v>
      </c>
      <c r="B23" s="28" t="s">
        <v>32</v>
      </c>
      <c r="C23" s="55"/>
      <c r="D23" s="33">
        <f t="shared" si="4"/>
        <v>0</v>
      </c>
      <c r="E23" s="33">
        <f t="shared" si="5"/>
        <v>0</v>
      </c>
      <c r="F23" s="33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1:20" s="22" customFormat="1" ht="33" hidden="1" customHeight="1" x14ac:dyDescent="0.25">
      <c r="A24" s="50" t="s">
        <v>33</v>
      </c>
      <c r="B24" s="28" t="s">
        <v>34</v>
      </c>
      <c r="C24" s="55"/>
      <c r="D24" s="33">
        <f t="shared" si="4"/>
        <v>0</v>
      </c>
      <c r="E24" s="33">
        <f t="shared" si="5"/>
        <v>0</v>
      </c>
      <c r="F24" s="33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 spans="1:20" s="22" customFormat="1" ht="33" hidden="1" customHeight="1" x14ac:dyDescent="0.25">
      <c r="A25" s="50" t="s">
        <v>35</v>
      </c>
      <c r="B25" s="28" t="s">
        <v>36</v>
      </c>
      <c r="C25" s="55"/>
      <c r="D25" s="33">
        <f t="shared" si="4"/>
        <v>0</v>
      </c>
      <c r="E25" s="33">
        <f t="shared" si="5"/>
        <v>0</v>
      </c>
      <c r="F25" s="33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1:20" s="24" customFormat="1" ht="17.25" x14ac:dyDescent="0.25">
      <c r="A26" s="56">
        <v>3</v>
      </c>
      <c r="B26" s="48" t="s">
        <v>37</v>
      </c>
      <c r="C26" s="54"/>
      <c r="D26" s="34">
        <f t="shared" si="4"/>
        <v>0</v>
      </c>
      <c r="E26" s="34">
        <f t="shared" si="5"/>
        <v>0</v>
      </c>
      <c r="F26" s="34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0" s="20" customFormat="1" ht="17.25" x14ac:dyDescent="0.25">
      <c r="A27" s="53">
        <v>4</v>
      </c>
      <c r="B27" s="48" t="s">
        <v>38</v>
      </c>
      <c r="C27" s="54"/>
      <c r="D27" s="34">
        <f t="shared" si="4"/>
        <v>1001128.98</v>
      </c>
      <c r="E27" s="34">
        <f t="shared" si="5"/>
        <v>1001128.98</v>
      </c>
      <c r="F27" s="3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>
        <v>1001128.98</v>
      </c>
      <c r="T27" s="25">
        <v>1001128.98</v>
      </c>
    </row>
    <row r="28" spans="1:20" s="20" customFormat="1" ht="17.25" x14ac:dyDescent="0.25">
      <c r="A28" s="53">
        <v>5</v>
      </c>
      <c r="B28" s="48" t="s">
        <v>39</v>
      </c>
      <c r="C28" s="54"/>
      <c r="D28" s="34">
        <f t="shared" si="4"/>
        <v>55203.62</v>
      </c>
      <c r="E28" s="34">
        <f t="shared" si="5"/>
        <v>55203.62</v>
      </c>
      <c r="F28" s="34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>
        <v>55203.62</v>
      </c>
      <c r="T28" s="25">
        <v>55203.62</v>
      </c>
    </row>
    <row r="29" spans="1:20" s="20" customFormat="1" ht="17.25" x14ac:dyDescent="0.25">
      <c r="A29" s="53">
        <v>6</v>
      </c>
      <c r="B29" s="48" t="s">
        <v>40</v>
      </c>
      <c r="C29" s="54"/>
      <c r="D29" s="34">
        <f t="shared" si="4"/>
        <v>27448447.93</v>
      </c>
      <c r="E29" s="34">
        <f t="shared" si="5"/>
        <v>27448447.93</v>
      </c>
      <c r="F29" s="34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>
        <v>27448447.93</v>
      </c>
      <c r="T29" s="25">
        <v>27448447.93</v>
      </c>
    </row>
    <row r="30" spans="1:20" s="20" customFormat="1" ht="17.25" x14ac:dyDescent="0.25">
      <c r="A30" s="53">
        <v>7</v>
      </c>
      <c r="B30" s="48" t="s">
        <v>41</v>
      </c>
      <c r="C30" s="54"/>
      <c r="D30" s="34">
        <f t="shared" si="4"/>
        <v>2854157.3</v>
      </c>
      <c r="E30" s="34">
        <f t="shared" si="5"/>
        <v>2854157.3</v>
      </c>
      <c r="F30" s="34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>
        <v>2854157.3</v>
      </c>
      <c r="T30" s="25">
        <v>2854157.3</v>
      </c>
    </row>
    <row r="31" spans="1:20" s="20" customFormat="1" ht="20.25" x14ac:dyDescent="0.25">
      <c r="A31" s="163" t="s">
        <v>42</v>
      </c>
      <c r="B31" s="163"/>
      <c r="C31" s="57"/>
      <c r="D31" s="34">
        <f t="shared" si="4"/>
        <v>2335913048.7199998</v>
      </c>
      <c r="E31" s="34">
        <f t="shared" si="5"/>
        <v>762542861.99000001</v>
      </c>
      <c r="F31" s="34"/>
      <c r="G31" s="25">
        <f t="shared" ref="G31:S31" si="7">SUM(G32+G36+G42+G43+G44+G45+G46)</f>
        <v>972369679.29999995</v>
      </c>
      <c r="H31" s="25">
        <f t="shared" ref="H31:Q31" si="8">SUM(H32+H36+H42+H43+H44+H45+H46)</f>
        <v>322899644.19999999</v>
      </c>
      <c r="I31" s="25">
        <f t="shared" si="8"/>
        <v>0</v>
      </c>
      <c r="J31" s="25">
        <f t="shared" si="8"/>
        <v>0</v>
      </c>
      <c r="K31" s="25">
        <f t="shared" si="8"/>
        <v>842861577</v>
      </c>
      <c r="L31" s="25">
        <f t="shared" si="8"/>
        <v>244129900</v>
      </c>
      <c r="M31" s="25">
        <f t="shared" si="8"/>
        <v>827000</v>
      </c>
      <c r="N31" s="25">
        <f t="shared" si="8"/>
        <v>492200</v>
      </c>
      <c r="O31" s="25">
        <f t="shared" si="8"/>
        <v>0</v>
      </c>
      <c r="P31" s="25">
        <f t="shared" si="8"/>
        <v>0</v>
      </c>
      <c r="Q31" s="25">
        <f t="shared" si="8"/>
        <v>0</v>
      </c>
      <c r="R31" s="25"/>
      <c r="S31" s="25">
        <f t="shared" si="7"/>
        <v>519854792.42000002</v>
      </c>
      <c r="T31" s="25">
        <f t="shared" ref="T31" si="9">SUM(T32+T36+T42+T43+T44+T45+T46)</f>
        <v>195021117.78999999</v>
      </c>
    </row>
    <row r="32" spans="1:20" s="24" customFormat="1" ht="17.25" x14ac:dyDescent="0.25">
      <c r="A32" s="56" t="s">
        <v>17</v>
      </c>
      <c r="B32" s="48" t="s">
        <v>18</v>
      </c>
      <c r="C32" s="54"/>
      <c r="D32" s="34">
        <f t="shared" si="4"/>
        <v>1683201197.73</v>
      </c>
      <c r="E32" s="34">
        <f t="shared" si="5"/>
        <v>525704376</v>
      </c>
      <c r="F32" s="34"/>
      <c r="G32" s="25">
        <f>SUM(G33:G35)</f>
        <v>839512620.73000002</v>
      </c>
      <c r="H32" s="25">
        <f>SUM(H33:H35)</f>
        <v>281082276</v>
      </c>
      <c r="I32" s="25">
        <f t="shared" ref="I32:Q32" si="10">SUM(I33:I35)</f>
        <v>0</v>
      </c>
      <c r="J32" s="25">
        <f t="shared" si="10"/>
        <v>0</v>
      </c>
      <c r="K32" s="25">
        <f t="shared" si="10"/>
        <v>842861577</v>
      </c>
      <c r="L32" s="25">
        <f t="shared" si="10"/>
        <v>244129900</v>
      </c>
      <c r="M32" s="25">
        <f t="shared" si="10"/>
        <v>827000</v>
      </c>
      <c r="N32" s="25">
        <f t="shared" si="10"/>
        <v>492200</v>
      </c>
      <c r="O32" s="25">
        <f t="shared" si="10"/>
        <v>0</v>
      </c>
      <c r="P32" s="25">
        <f t="shared" si="10"/>
        <v>0</v>
      </c>
      <c r="Q32" s="25">
        <f t="shared" si="10"/>
        <v>0</v>
      </c>
      <c r="R32" s="25"/>
      <c r="S32" s="25"/>
      <c r="T32" s="25"/>
    </row>
    <row r="33" spans="1:43" s="22" customFormat="1" ht="16.5" x14ac:dyDescent="0.25">
      <c r="A33" s="50" t="s">
        <v>19</v>
      </c>
      <c r="B33" s="28" t="s">
        <v>20</v>
      </c>
      <c r="C33" s="55"/>
      <c r="D33" s="33">
        <f t="shared" si="4"/>
        <v>1637111291.23</v>
      </c>
      <c r="E33" s="33">
        <f t="shared" si="5"/>
        <v>503439976</v>
      </c>
      <c r="F33" s="33"/>
      <c r="G33" s="90">
        <v>793422714.23000002</v>
      </c>
      <c r="H33" s="90">
        <f>281082276-H34</f>
        <v>258817876</v>
      </c>
      <c r="I33" s="21"/>
      <c r="J33" s="21"/>
      <c r="K33" s="90">
        <v>842861577</v>
      </c>
      <c r="L33" s="90">
        <v>244129900</v>
      </c>
      <c r="M33" s="90">
        <v>827000</v>
      </c>
      <c r="N33" s="90">
        <v>492200</v>
      </c>
      <c r="O33" s="21"/>
      <c r="P33" s="21"/>
      <c r="Q33" s="21"/>
      <c r="R33" s="21"/>
      <c r="S33" s="21"/>
      <c r="T33" s="21"/>
    </row>
    <row r="34" spans="1:43" s="22" customFormat="1" ht="16.5" x14ac:dyDescent="0.25">
      <c r="A34" s="50" t="s">
        <v>21</v>
      </c>
      <c r="B34" s="28" t="s">
        <v>22</v>
      </c>
      <c r="C34" s="55"/>
      <c r="D34" s="33">
        <f t="shared" si="4"/>
        <v>46089906.5</v>
      </c>
      <c r="E34" s="33">
        <f t="shared" si="5"/>
        <v>22264400</v>
      </c>
      <c r="F34" s="33"/>
      <c r="G34" s="90">
        <v>46089906.5</v>
      </c>
      <c r="H34" s="90">
        <v>22264400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 spans="1:43" s="22" customFormat="1" ht="16.5" hidden="1" x14ac:dyDescent="0.25">
      <c r="A35" s="52"/>
      <c r="B35" s="28"/>
      <c r="C35" s="55"/>
      <c r="D35" s="33">
        <f t="shared" si="4"/>
        <v>0</v>
      </c>
      <c r="E35" s="33">
        <f t="shared" si="5"/>
        <v>0</v>
      </c>
      <c r="F35" s="33"/>
      <c r="G35" s="38"/>
      <c r="H35" s="38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1:43" s="24" customFormat="1" ht="17.25" x14ac:dyDescent="0.25">
      <c r="A36" s="56" t="s">
        <v>25</v>
      </c>
      <c r="B36" s="48" t="s">
        <v>26</v>
      </c>
      <c r="C36" s="54"/>
      <c r="D36" s="34">
        <f t="shared" si="4"/>
        <v>132857058.56999999</v>
      </c>
      <c r="E36" s="34">
        <f t="shared" si="5"/>
        <v>41817368.200000003</v>
      </c>
      <c r="F36" s="34"/>
      <c r="G36" s="25">
        <f>SUM(G37:G41)</f>
        <v>132857058.56999999</v>
      </c>
      <c r="H36" s="25">
        <f t="shared" ref="H36:I36" si="11">SUM(H37:H41)</f>
        <v>41817368.200000003</v>
      </c>
      <c r="I36" s="25">
        <f t="shared" si="11"/>
        <v>0</v>
      </c>
      <c r="J36" s="25"/>
      <c r="K36" s="25">
        <f>SUM(K37:K41)</f>
        <v>0</v>
      </c>
      <c r="L36" s="25"/>
      <c r="M36" s="23">
        <f>SUM(M37:M41)</f>
        <v>0</v>
      </c>
      <c r="N36" s="23"/>
      <c r="O36" s="23">
        <f>SUM(O37:O41)</f>
        <v>0</v>
      </c>
      <c r="P36" s="23"/>
      <c r="Q36" s="23"/>
      <c r="R36" s="23"/>
      <c r="S36" s="23"/>
      <c r="T36" s="23"/>
    </row>
    <row r="37" spans="1:43" s="22" customFormat="1" ht="33" x14ac:dyDescent="0.25">
      <c r="A37" s="50" t="s">
        <v>27</v>
      </c>
      <c r="B37" s="28" t="s">
        <v>43</v>
      </c>
      <c r="C37" s="55"/>
      <c r="D37" s="33">
        <f t="shared" si="4"/>
        <v>131176079.56999999</v>
      </c>
      <c r="E37" s="33">
        <f t="shared" si="5"/>
        <v>41417389</v>
      </c>
      <c r="F37" s="33"/>
      <c r="G37" s="90">
        <f>122319194+4266467+4590418.57</f>
        <v>131176079.56999999</v>
      </c>
      <c r="H37" s="90">
        <f>4266467+36536922+614000</f>
        <v>41417389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pans="1:43" s="22" customFormat="1" ht="33" x14ac:dyDescent="0.25">
      <c r="A38" s="50" t="s">
        <v>29</v>
      </c>
      <c r="B38" s="28" t="s">
        <v>44</v>
      </c>
      <c r="C38" s="55"/>
      <c r="D38" s="33">
        <f t="shared" si="4"/>
        <v>0</v>
      </c>
      <c r="E38" s="33">
        <f t="shared" si="5"/>
        <v>0</v>
      </c>
      <c r="F38" s="33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1:43" s="22" customFormat="1" ht="36" customHeight="1" x14ac:dyDescent="0.25">
      <c r="A39" s="50" t="s">
        <v>31</v>
      </c>
      <c r="B39" s="28" t="s">
        <v>32</v>
      </c>
      <c r="C39" s="55"/>
      <c r="D39" s="33">
        <f t="shared" si="4"/>
        <v>1680979</v>
      </c>
      <c r="E39" s="33">
        <f t="shared" si="5"/>
        <v>399979.2</v>
      </c>
      <c r="F39" s="33"/>
      <c r="G39" s="90">
        <v>1680979</v>
      </c>
      <c r="H39" s="90">
        <v>399979.2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pans="1:43" s="22" customFormat="1" ht="33" hidden="1" customHeight="1" x14ac:dyDescent="0.25">
      <c r="A40" s="50" t="s">
        <v>33</v>
      </c>
      <c r="B40" s="28" t="s">
        <v>34</v>
      </c>
      <c r="C40" s="55"/>
      <c r="D40" s="33">
        <f t="shared" si="4"/>
        <v>0</v>
      </c>
      <c r="E40" s="33">
        <f t="shared" si="5"/>
        <v>0</v>
      </c>
      <c r="F40" s="33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1:43" s="22" customFormat="1" ht="33" hidden="1" customHeight="1" x14ac:dyDescent="0.25">
      <c r="A41" s="50" t="s">
        <v>35</v>
      </c>
      <c r="B41" s="28" t="s">
        <v>36</v>
      </c>
      <c r="C41" s="55"/>
      <c r="D41" s="33">
        <f t="shared" si="4"/>
        <v>0</v>
      </c>
      <c r="E41" s="33">
        <f t="shared" si="5"/>
        <v>0</v>
      </c>
      <c r="F41" s="33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1:43" s="20" customFormat="1" ht="17.25" x14ac:dyDescent="0.25">
      <c r="A42" s="53">
        <v>3</v>
      </c>
      <c r="B42" s="48" t="s">
        <v>37</v>
      </c>
      <c r="C42" s="54"/>
      <c r="D42" s="34">
        <f t="shared" si="4"/>
        <v>0</v>
      </c>
      <c r="E42" s="34">
        <f t="shared" si="5"/>
        <v>0</v>
      </c>
      <c r="F42" s="34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43" s="20" customFormat="1" ht="17.25" x14ac:dyDescent="0.25">
      <c r="A43" s="53">
        <v>4</v>
      </c>
      <c r="B43" s="48" t="s">
        <v>38</v>
      </c>
      <c r="C43" s="54"/>
      <c r="D43" s="34">
        <f t="shared" si="4"/>
        <v>36908000</v>
      </c>
      <c r="E43" s="34">
        <f t="shared" si="5"/>
        <v>19150648.719999999</v>
      </c>
      <c r="F43" s="34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>
        <v>36908000</v>
      </c>
      <c r="T43" s="78">
        <v>19150648.719999999</v>
      </c>
    </row>
    <row r="44" spans="1:43" s="20" customFormat="1" ht="17.25" x14ac:dyDescent="0.25">
      <c r="A44" s="53">
        <v>5</v>
      </c>
      <c r="B44" s="48" t="s">
        <v>39</v>
      </c>
      <c r="C44" s="54"/>
      <c r="D44" s="34">
        <f t="shared" si="4"/>
        <v>5400000</v>
      </c>
      <c r="E44" s="34">
        <f t="shared" si="5"/>
        <v>1206462.51</v>
      </c>
      <c r="F44" s="34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>
        <v>5400000</v>
      </c>
      <c r="T44" s="78">
        <v>1206462.51</v>
      </c>
    </row>
    <row r="45" spans="1:43" s="20" customFormat="1" ht="17.25" x14ac:dyDescent="0.25">
      <c r="A45" s="53">
        <v>6</v>
      </c>
      <c r="B45" s="48" t="s">
        <v>40</v>
      </c>
      <c r="C45" s="54"/>
      <c r="D45" s="34">
        <f t="shared" si="4"/>
        <v>426222896</v>
      </c>
      <c r="E45" s="34">
        <f t="shared" si="5"/>
        <v>160146428.28999999</v>
      </c>
      <c r="F45" s="34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>
        <v>426222896</v>
      </c>
      <c r="T45" s="78">
        <v>160146428.28999999</v>
      </c>
    </row>
    <row r="46" spans="1:43" s="20" customFormat="1" ht="17.25" x14ac:dyDescent="0.25">
      <c r="A46" s="53">
        <v>7</v>
      </c>
      <c r="B46" s="48" t="s">
        <v>41</v>
      </c>
      <c r="C46" s="54"/>
      <c r="D46" s="34">
        <f t="shared" si="4"/>
        <v>51323896.420000002</v>
      </c>
      <c r="E46" s="34">
        <f t="shared" si="5"/>
        <v>14517578.27</v>
      </c>
      <c r="F46" s="34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>
        <v>51323896.420000002</v>
      </c>
      <c r="T46" s="78">
        <v>14517578.27</v>
      </c>
    </row>
    <row r="47" spans="1:43" s="20" customFormat="1" ht="20.25" x14ac:dyDescent="0.25">
      <c r="A47" s="163" t="s">
        <v>45</v>
      </c>
      <c r="B47" s="163"/>
      <c r="C47" s="57"/>
      <c r="D47" s="34">
        <f t="shared" si="4"/>
        <v>2367272019.5500002</v>
      </c>
      <c r="E47" s="34">
        <f t="shared" si="5"/>
        <v>735228192.48000002</v>
      </c>
      <c r="F47" s="34"/>
      <c r="G47" s="25">
        <f t="shared" ref="G47:M47" si="12">SUM(G48+G84+G186+G187+G206+G223+G241)</f>
        <v>972369712.29999995</v>
      </c>
      <c r="H47" s="25">
        <f t="shared" ref="H47:L47" si="13">SUM(H48+H84+H186+H187+H206+H223+H241)</f>
        <v>321056801.06000006</v>
      </c>
      <c r="I47" s="25">
        <f t="shared" si="13"/>
        <v>0</v>
      </c>
      <c r="J47" s="25">
        <f t="shared" si="13"/>
        <v>0</v>
      </c>
      <c r="K47" s="25">
        <f t="shared" si="13"/>
        <v>842861577</v>
      </c>
      <c r="L47" s="25">
        <f t="shared" si="13"/>
        <v>243364832.18000001</v>
      </c>
      <c r="M47" s="25">
        <f t="shared" si="12"/>
        <v>827000</v>
      </c>
      <c r="N47" s="25">
        <f t="shared" ref="N47:R47" si="14">SUM(N48+N84+N186+N187+N206+N223+N241)</f>
        <v>491696.32</v>
      </c>
      <c r="O47" s="25">
        <f t="shared" si="14"/>
        <v>0</v>
      </c>
      <c r="P47" s="25">
        <f t="shared" si="14"/>
        <v>0</v>
      </c>
      <c r="Q47" s="25">
        <f t="shared" si="14"/>
        <v>0</v>
      </c>
      <c r="R47" s="25">
        <f t="shared" si="14"/>
        <v>0</v>
      </c>
      <c r="S47" s="25">
        <f>SUM(S48+S84+S186+S187+S206+S223+S241)</f>
        <v>551213730.25</v>
      </c>
      <c r="T47" s="25">
        <f>SUM(T48+T84+T186+T187+T206+T223+T241)</f>
        <v>170314862.91999999</v>
      </c>
    </row>
    <row r="48" spans="1:43" s="20" customFormat="1" ht="17.25" x14ac:dyDescent="0.25">
      <c r="A48" s="53">
        <v>1</v>
      </c>
      <c r="B48" s="48" t="s">
        <v>18</v>
      </c>
      <c r="C48" s="54"/>
      <c r="D48" s="34">
        <f t="shared" si="4"/>
        <v>1683201197.73</v>
      </c>
      <c r="E48" s="34">
        <f t="shared" si="5"/>
        <v>523496221.52000004</v>
      </c>
      <c r="F48" s="34"/>
      <c r="G48" s="25">
        <f>SUM(G49+G78+G82)</f>
        <v>839512620.73000002</v>
      </c>
      <c r="H48" s="25">
        <f t="shared" ref="H48:L48" si="15">SUM(H49+H78+H82)</f>
        <v>279639693.02000004</v>
      </c>
      <c r="I48" s="25">
        <f t="shared" si="15"/>
        <v>0</v>
      </c>
      <c r="J48" s="25">
        <f t="shared" si="15"/>
        <v>0</v>
      </c>
      <c r="K48" s="25">
        <f t="shared" si="15"/>
        <v>842861577</v>
      </c>
      <c r="L48" s="25">
        <f t="shared" si="15"/>
        <v>243364832.18000001</v>
      </c>
      <c r="M48" s="25">
        <f>SUM(M49+M78+M82)</f>
        <v>827000</v>
      </c>
      <c r="N48" s="25">
        <f t="shared" ref="N48:R48" si="16">SUM(N49+N78+N82)</f>
        <v>491696.32</v>
      </c>
      <c r="O48" s="25">
        <f t="shared" si="16"/>
        <v>0</v>
      </c>
      <c r="P48" s="25">
        <f t="shared" si="16"/>
        <v>0</v>
      </c>
      <c r="Q48" s="25">
        <f t="shared" si="16"/>
        <v>0</v>
      </c>
      <c r="R48" s="25">
        <f t="shared" si="16"/>
        <v>0</v>
      </c>
      <c r="S48" s="25"/>
      <c r="T48" s="25"/>
      <c r="AQ48" s="20">
        <v>173284000</v>
      </c>
    </row>
    <row r="49" spans="1:20" s="20" customFormat="1" ht="17.25" x14ac:dyDescent="0.25">
      <c r="A49" s="53" t="s">
        <v>19</v>
      </c>
      <c r="B49" s="48" t="s">
        <v>20</v>
      </c>
      <c r="C49" s="54"/>
      <c r="D49" s="34">
        <f t="shared" si="4"/>
        <v>1637111291.23</v>
      </c>
      <c r="E49" s="34">
        <f t="shared" si="5"/>
        <v>501268101.91000003</v>
      </c>
      <c r="F49" s="34"/>
      <c r="G49" s="25">
        <f>SUM(G50+G51+G52+G53+G54+G55+G59+G60+G61+G64+G65+G68)+G72+G75</f>
        <v>793422714.23000002</v>
      </c>
      <c r="H49" s="25">
        <f t="shared" ref="H49:L49" si="17">SUM(H50+H51+H52+H53+H54+H55+H59+H60+H61+H64+H65+H68)+H72+H75</f>
        <v>257411573.41000003</v>
      </c>
      <c r="I49" s="25">
        <f t="shared" si="17"/>
        <v>0</v>
      </c>
      <c r="J49" s="25">
        <f t="shared" si="17"/>
        <v>0</v>
      </c>
      <c r="K49" s="25">
        <f t="shared" si="17"/>
        <v>842861577</v>
      </c>
      <c r="L49" s="25">
        <f t="shared" si="17"/>
        <v>243364832.18000001</v>
      </c>
      <c r="M49" s="25">
        <f t="shared" ref="M49:S49" si="18">SUM(M50+M51+M52+M53+M54+M55+M59+M60+M61+M64+M65+M68)+M72</f>
        <v>827000</v>
      </c>
      <c r="N49" s="25">
        <f t="shared" ref="N49:R49" si="19">SUM(N50+N51+N52+N53+N54+N55+N59+N60+N61+N64+N65+N68)+N72</f>
        <v>491696.32</v>
      </c>
      <c r="O49" s="25">
        <f t="shared" si="19"/>
        <v>0</v>
      </c>
      <c r="P49" s="25">
        <f t="shared" si="19"/>
        <v>0</v>
      </c>
      <c r="Q49" s="25">
        <f t="shared" si="19"/>
        <v>0</v>
      </c>
      <c r="R49" s="25">
        <f t="shared" si="19"/>
        <v>0</v>
      </c>
      <c r="S49" s="25">
        <f t="shared" si="18"/>
        <v>0</v>
      </c>
      <c r="T49" s="25">
        <f t="shared" ref="T49" si="20">SUM(T50+T51+T52+T53+T54+T55+T59+T60+T61+T64+T65+T68)+T72</f>
        <v>0</v>
      </c>
    </row>
    <row r="50" spans="1:20" s="22" customFormat="1" ht="16.5" x14ac:dyDescent="0.25">
      <c r="A50" s="50" t="s">
        <v>46</v>
      </c>
      <c r="B50" s="28" t="s">
        <v>47</v>
      </c>
      <c r="C50" s="55">
        <v>211</v>
      </c>
      <c r="D50" s="33">
        <f t="shared" si="4"/>
        <v>1098421230</v>
      </c>
      <c r="E50" s="33">
        <f t="shared" si="5"/>
        <v>320518713.61000001</v>
      </c>
      <c r="F50" s="33"/>
      <c r="G50" s="38">
        <v>452972107</v>
      </c>
      <c r="H50" s="80">
        <v>136973037.43000001</v>
      </c>
      <c r="I50" s="21"/>
      <c r="J50" s="21"/>
      <c r="K50" s="38">
        <f>666848671-21399548</f>
        <v>645449123</v>
      </c>
      <c r="L50" s="82">
        <v>183545676.18000001</v>
      </c>
      <c r="M50" s="21"/>
      <c r="N50" s="21"/>
      <c r="O50" s="21"/>
      <c r="P50" s="21"/>
      <c r="Q50" s="21"/>
      <c r="R50" s="21"/>
      <c r="S50" s="21"/>
      <c r="T50" s="21"/>
    </row>
    <row r="51" spans="1:20" s="22" customFormat="1" ht="16.5" x14ac:dyDescent="0.25">
      <c r="A51" s="50" t="s">
        <v>48</v>
      </c>
      <c r="B51" s="28" t="s">
        <v>49</v>
      </c>
      <c r="C51" s="55">
        <v>212</v>
      </c>
      <c r="D51" s="33">
        <f t="shared" si="4"/>
        <v>1016360</v>
      </c>
      <c r="E51" s="33">
        <f t="shared" si="5"/>
        <v>563055.78</v>
      </c>
      <c r="F51" s="33"/>
      <c r="G51" s="38">
        <v>189360</v>
      </c>
      <c r="H51" s="80">
        <v>71359.460000000006</v>
      </c>
      <c r="I51" s="21"/>
      <c r="J51" s="21"/>
      <c r="K51" s="38"/>
      <c r="L51" s="82"/>
      <c r="M51" s="38">
        <v>827000</v>
      </c>
      <c r="N51" s="82">
        <v>491696.32</v>
      </c>
      <c r="O51" s="21"/>
      <c r="P51" s="21"/>
      <c r="Q51" s="21"/>
      <c r="R51" s="21"/>
      <c r="S51" s="21"/>
      <c r="T51" s="21"/>
    </row>
    <row r="52" spans="1:20" s="22" customFormat="1" ht="16.5" x14ac:dyDescent="0.25">
      <c r="A52" s="50" t="s">
        <v>50</v>
      </c>
      <c r="B52" s="28" t="s">
        <v>51</v>
      </c>
      <c r="C52" s="55">
        <v>213</v>
      </c>
      <c r="D52" s="33">
        <f t="shared" si="4"/>
        <v>325784546</v>
      </c>
      <c r="E52" s="33">
        <f t="shared" si="5"/>
        <v>101794993.88</v>
      </c>
      <c r="F52" s="33"/>
      <c r="G52" s="38">
        <v>134079739</v>
      </c>
      <c r="H52" s="80">
        <v>44913544.280000001</v>
      </c>
      <c r="I52" s="21"/>
      <c r="J52" s="21"/>
      <c r="K52" s="38">
        <f>198060473-6355666</f>
        <v>191704807</v>
      </c>
      <c r="L52" s="82">
        <v>56881449.600000001</v>
      </c>
      <c r="M52" s="21"/>
      <c r="N52" s="21"/>
      <c r="O52" s="21"/>
      <c r="P52" s="21"/>
      <c r="Q52" s="21"/>
      <c r="R52" s="21"/>
      <c r="S52" s="21"/>
      <c r="T52" s="21"/>
    </row>
    <row r="53" spans="1:20" s="22" customFormat="1" ht="16.5" x14ac:dyDescent="0.25">
      <c r="A53" s="52" t="s">
        <v>52</v>
      </c>
      <c r="B53" s="28" t="s">
        <v>53</v>
      </c>
      <c r="C53" s="55">
        <v>221</v>
      </c>
      <c r="D53" s="33">
        <f t="shared" si="4"/>
        <v>1725000</v>
      </c>
      <c r="E53" s="33">
        <f t="shared" si="5"/>
        <v>372940.11</v>
      </c>
      <c r="F53" s="33"/>
      <c r="G53" s="38">
        <v>1725000</v>
      </c>
      <c r="H53" s="80">
        <v>372940.11</v>
      </c>
      <c r="I53" s="21"/>
      <c r="J53" s="21"/>
      <c r="K53" s="38"/>
      <c r="L53" s="82"/>
      <c r="M53" s="21"/>
      <c r="N53" s="21"/>
      <c r="O53" s="21"/>
      <c r="P53" s="21"/>
      <c r="Q53" s="21"/>
      <c r="R53" s="21"/>
      <c r="S53" s="21"/>
      <c r="T53" s="21"/>
    </row>
    <row r="54" spans="1:20" s="22" customFormat="1" ht="16.5" x14ac:dyDescent="0.25">
      <c r="A54" s="50" t="s">
        <v>54</v>
      </c>
      <c r="B54" s="28" t="s">
        <v>55</v>
      </c>
      <c r="C54" s="55">
        <v>222</v>
      </c>
      <c r="D54" s="33">
        <f t="shared" si="4"/>
        <v>0</v>
      </c>
      <c r="E54" s="33">
        <f t="shared" si="5"/>
        <v>0</v>
      </c>
      <c r="F54" s="33"/>
      <c r="G54" s="38"/>
      <c r="H54" s="80"/>
      <c r="I54" s="21"/>
      <c r="J54" s="21"/>
      <c r="K54" s="38"/>
      <c r="L54" s="82"/>
      <c r="M54" s="21"/>
      <c r="N54" s="21"/>
      <c r="O54" s="21"/>
      <c r="P54" s="21"/>
      <c r="Q54" s="21"/>
      <c r="R54" s="21"/>
      <c r="S54" s="21"/>
      <c r="T54" s="21"/>
    </row>
    <row r="55" spans="1:20" s="22" customFormat="1" ht="16.5" x14ac:dyDescent="0.25">
      <c r="A55" s="50" t="s">
        <v>56</v>
      </c>
      <c r="B55" s="28" t="s">
        <v>57</v>
      </c>
      <c r="C55" s="55">
        <v>223</v>
      </c>
      <c r="D55" s="33">
        <f t="shared" si="4"/>
        <v>127305669.72999999</v>
      </c>
      <c r="E55" s="33">
        <f t="shared" si="5"/>
        <v>58986850.090000004</v>
      </c>
      <c r="F55" s="33"/>
      <c r="G55" s="38">
        <f>SUM(G56:G58)</f>
        <v>127305669.72999999</v>
      </c>
      <c r="H55" s="80">
        <f>SUM(H56:H58)</f>
        <v>58986850.090000004</v>
      </c>
      <c r="I55" s="21"/>
      <c r="J55" s="21"/>
      <c r="K55" s="38"/>
      <c r="L55" s="82"/>
      <c r="M55" s="21"/>
      <c r="N55" s="21"/>
      <c r="O55" s="21"/>
      <c r="P55" s="21"/>
      <c r="Q55" s="21"/>
      <c r="R55" s="21"/>
      <c r="S55" s="21"/>
      <c r="T55" s="21"/>
    </row>
    <row r="56" spans="1:20" s="22" customFormat="1" ht="16.5" x14ac:dyDescent="0.25">
      <c r="A56" s="50"/>
      <c r="B56" s="28" t="s">
        <v>58</v>
      </c>
      <c r="C56" s="55">
        <v>223</v>
      </c>
      <c r="D56" s="33">
        <f t="shared" si="4"/>
        <v>72026606</v>
      </c>
      <c r="E56" s="33">
        <f t="shared" si="5"/>
        <v>40679859.490000002</v>
      </c>
      <c r="F56" s="33"/>
      <c r="G56" s="38">
        <v>72026606</v>
      </c>
      <c r="H56" s="80">
        <v>40679859.490000002</v>
      </c>
      <c r="I56" s="21"/>
      <c r="J56" s="21"/>
      <c r="K56" s="38"/>
      <c r="L56" s="82"/>
      <c r="M56" s="21"/>
      <c r="N56" s="21"/>
      <c r="O56" s="21"/>
      <c r="P56" s="21"/>
      <c r="Q56" s="21"/>
      <c r="R56" s="21"/>
      <c r="S56" s="21"/>
      <c r="T56" s="21"/>
    </row>
    <row r="57" spans="1:20" s="22" customFormat="1" ht="16.5" x14ac:dyDescent="0.25">
      <c r="A57" s="50"/>
      <c r="B57" s="28" t="s">
        <v>59</v>
      </c>
      <c r="C57" s="55">
        <v>223</v>
      </c>
      <c r="D57" s="33">
        <f t="shared" si="4"/>
        <v>36629257.729999997</v>
      </c>
      <c r="E57" s="33">
        <f t="shared" si="5"/>
        <v>12720769.369999999</v>
      </c>
      <c r="F57" s="33"/>
      <c r="G57" s="38">
        <v>36629257.729999997</v>
      </c>
      <c r="H57" s="80">
        <v>12720769.369999999</v>
      </c>
      <c r="I57" s="21"/>
      <c r="J57" s="21"/>
      <c r="K57" s="38"/>
      <c r="L57" s="82"/>
      <c r="M57" s="21"/>
      <c r="N57" s="21"/>
      <c r="O57" s="21"/>
      <c r="P57" s="21"/>
      <c r="Q57" s="21"/>
      <c r="R57" s="21"/>
      <c r="S57" s="21"/>
      <c r="T57" s="21"/>
    </row>
    <row r="58" spans="1:20" s="22" customFormat="1" ht="16.5" x14ac:dyDescent="0.25">
      <c r="A58" s="50"/>
      <c r="B58" s="28" t="s">
        <v>60</v>
      </c>
      <c r="C58" s="55">
        <v>223</v>
      </c>
      <c r="D58" s="33">
        <f t="shared" si="4"/>
        <v>18649806</v>
      </c>
      <c r="E58" s="33">
        <f t="shared" si="5"/>
        <v>5586221.2300000004</v>
      </c>
      <c r="F58" s="33"/>
      <c r="G58" s="38">
        <v>18649806</v>
      </c>
      <c r="H58" s="80">
        <v>5586221.2300000004</v>
      </c>
      <c r="I58" s="21"/>
      <c r="J58" s="21"/>
      <c r="K58" s="38"/>
      <c r="L58" s="82"/>
      <c r="M58" s="21"/>
      <c r="N58" s="21"/>
      <c r="O58" s="21"/>
      <c r="P58" s="21"/>
      <c r="Q58" s="21"/>
      <c r="R58" s="21"/>
      <c r="S58" s="21"/>
      <c r="T58" s="21"/>
    </row>
    <row r="59" spans="1:20" s="22" customFormat="1" ht="16.5" x14ac:dyDescent="0.25">
      <c r="A59" s="52" t="s">
        <v>61</v>
      </c>
      <c r="B59" s="28" t="s">
        <v>62</v>
      </c>
      <c r="C59" s="55">
        <v>224</v>
      </c>
      <c r="D59" s="33">
        <f t="shared" si="4"/>
        <v>0</v>
      </c>
      <c r="E59" s="33">
        <f t="shared" si="5"/>
        <v>0</v>
      </c>
      <c r="F59" s="33"/>
      <c r="G59" s="38"/>
      <c r="H59" s="80"/>
      <c r="I59" s="21"/>
      <c r="J59" s="21"/>
      <c r="K59" s="38"/>
      <c r="L59" s="82"/>
      <c r="M59" s="21"/>
      <c r="N59" s="21"/>
      <c r="O59" s="21"/>
      <c r="P59" s="21"/>
      <c r="Q59" s="21"/>
      <c r="R59" s="21"/>
      <c r="S59" s="21"/>
      <c r="T59" s="21"/>
    </row>
    <row r="60" spans="1:20" s="22" customFormat="1" ht="16.5" x14ac:dyDescent="0.25">
      <c r="A60" s="52" t="s">
        <v>63</v>
      </c>
      <c r="B60" s="28" t="s">
        <v>64</v>
      </c>
      <c r="C60" s="55">
        <v>225</v>
      </c>
      <c r="D60" s="33">
        <f t="shared" si="4"/>
        <v>26032782</v>
      </c>
      <c r="E60" s="33">
        <f t="shared" si="5"/>
        <v>4123270.31</v>
      </c>
      <c r="F60" s="33"/>
      <c r="G60" s="38">
        <v>26032782</v>
      </c>
      <c r="H60" s="80">
        <v>4123270.31</v>
      </c>
      <c r="I60" s="21"/>
      <c r="J60" s="21"/>
      <c r="K60" s="38"/>
      <c r="L60" s="82"/>
      <c r="M60" s="21"/>
      <c r="N60" s="21"/>
      <c r="O60" s="21"/>
      <c r="P60" s="21"/>
      <c r="Q60" s="21"/>
      <c r="R60" s="21"/>
      <c r="S60" s="21"/>
      <c r="T60" s="21"/>
    </row>
    <row r="61" spans="1:20" s="22" customFormat="1" ht="16.5" x14ac:dyDescent="0.25">
      <c r="A61" s="52" t="s">
        <v>65</v>
      </c>
      <c r="B61" s="28" t="s">
        <v>66</v>
      </c>
      <c r="C61" s="55">
        <v>226</v>
      </c>
      <c r="D61" s="33">
        <f t="shared" si="4"/>
        <v>22141167</v>
      </c>
      <c r="E61" s="33">
        <f t="shared" si="5"/>
        <v>5913344.6299999999</v>
      </c>
      <c r="F61" s="33"/>
      <c r="G61" s="38">
        <v>22141167</v>
      </c>
      <c r="H61" s="80">
        <f>H62+H63</f>
        <v>5913344.6299999999</v>
      </c>
      <c r="I61" s="21"/>
      <c r="J61" s="21"/>
      <c r="K61" s="38"/>
      <c r="L61" s="82"/>
      <c r="M61" s="21"/>
      <c r="N61" s="21"/>
      <c r="O61" s="21"/>
      <c r="P61" s="21"/>
      <c r="Q61" s="21"/>
      <c r="R61" s="21"/>
      <c r="S61" s="21"/>
      <c r="T61" s="21"/>
    </row>
    <row r="62" spans="1:20" s="22" customFormat="1" ht="16.5" x14ac:dyDescent="0.25">
      <c r="A62" s="52"/>
      <c r="B62" s="28" t="s">
        <v>75</v>
      </c>
      <c r="C62" s="55">
        <v>226</v>
      </c>
      <c r="D62" s="33">
        <f t="shared" si="4"/>
        <v>0</v>
      </c>
      <c r="E62" s="33">
        <f t="shared" si="5"/>
        <v>0</v>
      </c>
      <c r="F62" s="33"/>
      <c r="G62" s="38"/>
      <c r="H62" s="80"/>
      <c r="I62" s="21"/>
      <c r="J62" s="21"/>
      <c r="K62" s="38"/>
      <c r="L62" s="82"/>
      <c r="M62" s="21"/>
      <c r="N62" s="21"/>
      <c r="O62" s="21"/>
      <c r="P62" s="21"/>
      <c r="Q62" s="21"/>
      <c r="R62" s="21"/>
      <c r="S62" s="21"/>
      <c r="T62" s="21"/>
    </row>
    <row r="63" spans="1:20" s="22" customFormat="1" ht="16.5" x14ac:dyDescent="0.25">
      <c r="A63" s="52"/>
      <c r="B63" s="28" t="s">
        <v>285</v>
      </c>
      <c r="C63" s="55">
        <v>226</v>
      </c>
      <c r="D63" s="33">
        <f t="shared" si="4"/>
        <v>22141167</v>
      </c>
      <c r="E63" s="33">
        <f t="shared" si="5"/>
        <v>5913344.6299999999</v>
      </c>
      <c r="F63" s="33"/>
      <c r="G63" s="38">
        <v>22141167</v>
      </c>
      <c r="H63" s="80">
        <v>5913344.6299999999</v>
      </c>
      <c r="I63" s="21"/>
      <c r="J63" s="21"/>
      <c r="K63" s="38"/>
      <c r="L63" s="82"/>
      <c r="M63" s="21"/>
      <c r="N63" s="21"/>
      <c r="O63" s="21"/>
      <c r="P63" s="21"/>
      <c r="Q63" s="21"/>
      <c r="R63" s="21"/>
      <c r="S63" s="21"/>
      <c r="T63" s="21"/>
    </row>
    <row r="64" spans="1:20" s="22" customFormat="1" ht="16.5" x14ac:dyDescent="0.25">
      <c r="A64" s="52" t="s">
        <v>67</v>
      </c>
      <c r="B64" s="28" t="s">
        <v>68</v>
      </c>
      <c r="C64" s="55">
        <v>290</v>
      </c>
      <c r="D64" s="33">
        <f t="shared" si="4"/>
        <v>0</v>
      </c>
      <c r="E64" s="33">
        <f t="shared" si="5"/>
        <v>0</v>
      </c>
      <c r="F64" s="33"/>
      <c r="G64" s="38"/>
      <c r="H64" s="80"/>
      <c r="I64" s="21"/>
      <c r="J64" s="21"/>
      <c r="K64" s="38"/>
      <c r="L64" s="82"/>
      <c r="M64" s="21"/>
      <c r="N64" s="21"/>
      <c r="O64" s="21"/>
      <c r="P64" s="21"/>
      <c r="Q64" s="21"/>
      <c r="R64" s="21"/>
      <c r="S64" s="21"/>
      <c r="T64" s="21"/>
    </row>
    <row r="65" spans="1:20" s="22" customFormat="1" ht="16.5" x14ac:dyDescent="0.25">
      <c r="A65" s="52" t="s">
        <v>69</v>
      </c>
      <c r="B65" s="28" t="s">
        <v>70</v>
      </c>
      <c r="C65" s="55"/>
      <c r="D65" s="33">
        <f t="shared" si="4"/>
        <v>2521481.5</v>
      </c>
      <c r="E65" s="33">
        <f t="shared" si="5"/>
        <v>1299712.8</v>
      </c>
      <c r="F65" s="33"/>
      <c r="G65" s="21"/>
      <c r="H65" s="88"/>
      <c r="I65" s="21"/>
      <c r="J65" s="21"/>
      <c r="K65" s="38">
        <f>SUM(K66:K67)</f>
        <v>2521481.5</v>
      </c>
      <c r="L65" s="82">
        <f>SUM(L66:L67)</f>
        <v>1299712.8</v>
      </c>
      <c r="M65" s="21"/>
      <c r="N65" s="21"/>
      <c r="O65" s="21"/>
      <c r="P65" s="21"/>
      <c r="Q65" s="21"/>
      <c r="R65" s="21"/>
      <c r="S65" s="21"/>
      <c r="T65" s="21"/>
    </row>
    <row r="66" spans="1:20" s="22" customFormat="1" ht="16.5" x14ac:dyDescent="0.25">
      <c r="A66" s="52"/>
      <c r="B66" s="28" t="s">
        <v>71</v>
      </c>
      <c r="C66" s="55">
        <v>310</v>
      </c>
      <c r="D66" s="33">
        <f t="shared" si="4"/>
        <v>0</v>
      </c>
      <c r="E66" s="33">
        <f t="shared" si="5"/>
        <v>0</v>
      </c>
      <c r="F66" s="33"/>
      <c r="G66" s="21"/>
      <c r="H66" s="88"/>
      <c r="I66" s="21"/>
      <c r="J66" s="21"/>
      <c r="K66" s="38"/>
      <c r="L66" s="82"/>
      <c r="M66" s="21"/>
      <c r="N66" s="21"/>
      <c r="O66" s="21"/>
      <c r="P66" s="21"/>
      <c r="Q66" s="21"/>
      <c r="R66" s="21"/>
      <c r="S66" s="21"/>
      <c r="T66" s="21"/>
    </row>
    <row r="67" spans="1:20" s="22" customFormat="1" ht="16.5" x14ac:dyDescent="0.25">
      <c r="A67" s="52"/>
      <c r="B67" s="28" t="s">
        <v>72</v>
      </c>
      <c r="C67" s="55">
        <v>310</v>
      </c>
      <c r="D67" s="33">
        <f t="shared" si="4"/>
        <v>2521481.5</v>
      </c>
      <c r="E67" s="33">
        <f t="shared" si="5"/>
        <v>1299712.8</v>
      </c>
      <c r="F67" s="33"/>
      <c r="G67" s="21"/>
      <c r="H67" s="88"/>
      <c r="I67" s="21"/>
      <c r="J67" s="21"/>
      <c r="K67" s="38">
        <v>2521481.5</v>
      </c>
      <c r="L67" s="82">
        <v>1299712.8</v>
      </c>
      <c r="M67" s="21"/>
      <c r="N67" s="21"/>
      <c r="O67" s="21"/>
      <c r="P67" s="21"/>
      <c r="Q67" s="21"/>
      <c r="R67" s="21"/>
      <c r="S67" s="21"/>
      <c r="T67" s="21"/>
    </row>
    <row r="68" spans="1:20" s="22" customFormat="1" ht="16.5" x14ac:dyDescent="0.25">
      <c r="A68" s="52" t="s">
        <v>73</v>
      </c>
      <c r="B68" s="28" t="s">
        <v>74</v>
      </c>
      <c r="C68" s="55">
        <v>340</v>
      </c>
      <c r="D68" s="33">
        <f t="shared" si="4"/>
        <v>3186165.5</v>
      </c>
      <c r="E68" s="33">
        <f t="shared" si="5"/>
        <v>1637993.6</v>
      </c>
      <c r="F68" s="33"/>
      <c r="G68" s="21"/>
      <c r="H68" s="89">
        <f>H69+H70+H71</f>
        <v>0</v>
      </c>
      <c r="I68" s="21"/>
      <c r="J68" s="21"/>
      <c r="K68" s="38">
        <f>SUM(K69:K71)</f>
        <v>3186165.5</v>
      </c>
      <c r="L68" s="82">
        <f>SUM(L69:L71)</f>
        <v>1637993.6</v>
      </c>
      <c r="M68" s="21"/>
      <c r="N68" s="21"/>
      <c r="O68" s="21"/>
      <c r="P68" s="21"/>
      <c r="Q68" s="21"/>
      <c r="R68" s="21"/>
      <c r="S68" s="21"/>
      <c r="T68" s="21"/>
    </row>
    <row r="69" spans="1:20" s="22" customFormat="1" ht="16.5" x14ac:dyDescent="0.25">
      <c r="A69" s="52"/>
      <c r="B69" s="28" t="s">
        <v>75</v>
      </c>
      <c r="C69" s="55">
        <v>340</v>
      </c>
      <c r="D69" s="33">
        <f t="shared" si="4"/>
        <v>0</v>
      </c>
      <c r="E69" s="33">
        <f t="shared" si="5"/>
        <v>0</v>
      </c>
      <c r="F69" s="33"/>
      <c r="G69" s="21"/>
      <c r="H69" s="82"/>
      <c r="I69" s="21"/>
      <c r="J69" s="21"/>
      <c r="K69" s="38"/>
      <c r="L69" s="82"/>
      <c r="M69" s="21"/>
      <c r="N69" s="21"/>
      <c r="O69" s="21"/>
      <c r="P69" s="21"/>
      <c r="Q69" s="21"/>
      <c r="R69" s="21"/>
      <c r="S69" s="21"/>
      <c r="T69" s="21"/>
    </row>
    <row r="70" spans="1:20" s="22" customFormat="1" ht="16.5" x14ac:dyDescent="0.25">
      <c r="A70" s="52"/>
      <c r="B70" s="28" t="s">
        <v>76</v>
      </c>
      <c r="C70" s="55">
        <v>340</v>
      </c>
      <c r="D70" s="33">
        <f t="shared" si="4"/>
        <v>3186165.5</v>
      </c>
      <c r="E70" s="33">
        <f t="shared" si="5"/>
        <v>1637993.6</v>
      </c>
      <c r="F70" s="33"/>
      <c r="G70" s="21"/>
      <c r="H70" s="84"/>
      <c r="I70" s="21"/>
      <c r="J70" s="21"/>
      <c r="K70" s="38">
        <f>3207604.5-21439</f>
        <v>3186165.5</v>
      </c>
      <c r="L70" s="82">
        <v>1637993.6</v>
      </c>
      <c r="M70" s="21"/>
      <c r="N70" s="21"/>
      <c r="O70" s="21"/>
      <c r="P70" s="21"/>
      <c r="Q70" s="21"/>
      <c r="R70" s="21"/>
      <c r="S70" s="21"/>
      <c r="T70" s="21"/>
    </row>
    <row r="71" spans="1:20" s="22" customFormat="1" ht="16.5" x14ac:dyDescent="0.25">
      <c r="A71" s="52"/>
      <c r="B71" s="28" t="s">
        <v>77</v>
      </c>
      <c r="C71" s="55">
        <v>340</v>
      </c>
      <c r="D71" s="33">
        <f t="shared" si="4"/>
        <v>0</v>
      </c>
      <c r="E71" s="33">
        <f t="shared" si="5"/>
        <v>0</v>
      </c>
      <c r="F71" s="33"/>
      <c r="G71" s="21"/>
      <c r="H71" s="84"/>
      <c r="I71" s="21"/>
      <c r="J71" s="21"/>
      <c r="K71" s="38"/>
      <c r="L71" s="82"/>
      <c r="M71" s="21"/>
      <c r="N71" s="21"/>
      <c r="O71" s="21"/>
      <c r="P71" s="21"/>
      <c r="Q71" s="21"/>
      <c r="R71" s="21"/>
      <c r="S71" s="21"/>
      <c r="T71" s="21"/>
    </row>
    <row r="72" spans="1:20" s="22" customFormat="1" ht="16.5" x14ac:dyDescent="0.25">
      <c r="A72" s="52" t="s">
        <v>78</v>
      </c>
      <c r="B72" s="28" t="s">
        <v>79</v>
      </c>
      <c r="C72" s="55"/>
      <c r="D72" s="33">
        <f t="shared" si="4"/>
        <v>0</v>
      </c>
      <c r="E72" s="33">
        <f t="shared" si="5"/>
        <v>0</v>
      </c>
      <c r="F72" s="33"/>
      <c r="G72" s="21"/>
      <c r="H72" s="84"/>
      <c r="I72" s="21"/>
      <c r="J72" s="21"/>
      <c r="K72" s="38"/>
      <c r="L72" s="82"/>
      <c r="M72" s="21"/>
      <c r="N72" s="21"/>
      <c r="O72" s="21"/>
      <c r="P72" s="21"/>
      <c r="Q72" s="21"/>
      <c r="R72" s="21"/>
      <c r="S72" s="21"/>
      <c r="T72" s="21"/>
    </row>
    <row r="73" spans="1:20" s="22" customFormat="1" ht="16.5" x14ac:dyDescent="0.25">
      <c r="A73" s="52"/>
      <c r="B73" s="28" t="s">
        <v>66</v>
      </c>
      <c r="C73" s="55">
        <v>226</v>
      </c>
      <c r="D73" s="33">
        <f t="shared" si="4"/>
        <v>0</v>
      </c>
      <c r="E73" s="33">
        <f t="shared" si="5"/>
        <v>0</v>
      </c>
      <c r="F73" s="33"/>
      <c r="G73" s="21"/>
      <c r="H73" s="84"/>
      <c r="I73" s="21"/>
      <c r="J73" s="21"/>
      <c r="K73" s="38"/>
      <c r="L73" s="82"/>
      <c r="M73" s="21"/>
      <c r="N73" s="21"/>
      <c r="O73" s="21"/>
      <c r="P73" s="21"/>
      <c r="Q73" s="21"/>
      <c r="R73" s="21"/>
      <c r="S73" s="21"/>
      <c r="T73" s="21"/>
    </row>
    <row r="74" spans="1:20" s="22" customFormat="1" ht="16.5" x14ac:dyDescent="0.25">
      <c r="A74" s="52"/>
      <c r="B74" s="58" t="s">
        <v>74</v>
      </c>
      <c r="C74" s="55">
        <v>340</v>
      </c>
      <c r="D74" s="33">
        <f t="shared" si="4"/>
        <v>0</v>
      </c>
      <c r="E74" s="33">
        <f t="shared" si="5"/>
        <v>0</v>
      </c>
      <c r="F74" s="33"/>
      <c r="G74" s="21"/>
      <c r="H74" s="84"/>
      <c r="I74" s="21"/>
      <c r="J74" s="21"/>
      <c r="K74" s="21"/>
      <c r="L74" s="84"/>
      <c r="M74" s="21"/>
      <c r="N74" s="21"/>
      <c r="O74" s="21"/>
      <c r="P74" s="21"/>
      <c r="Q74" s="21"/>
      <c r="R74" s="21"/>
      <c r="S74" s="21"/>
      <c r="T74" s="21"/>
    </row>
    <row r="75" spans="1:20" s="22" customFormat="1" ht="16.5" x14ac:dyDescent="0.25">
      <c r="A75" s="52" t="s">
        <v>283</v>
      </c>
      <c r="B75" s="28" t="s">
        <v>24</v>
      </c>
      <c r="C75" s="55"/>
      <c r="D75" s="33">
        <f t="shared" si="4"/>
        <v>28976889.5</v>
      </c>
      <c r="E75" s="33">
        <f t="shared" si="5"/>
        <v>6057227.0999999996</v>
      </c>
      <c r="F75" s="33"/>
      <c r="G75" s="38">
        <f>SUM(G76)</f>
        <v>28976889.5</v>
      </c>
      <c r="H75" s="82">
        <f>SUM(H76)</f>
        <v>6057227.0999999996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</row>
    <row r="76" spans="1:20" s="22" customFormat="1" ht="16.5" x14ac:dyDescent="0.25">
      <c r="A76" s="52"/>
      <c r="B76" s="58" t="s">
        <v>74</v>
      </c>
      <c r="C76" s="55">
        <v>340</v>
      </c>
      <c r="D76" s="33">
        <f t="shared" si="4"/>
        <v>28976889.5</v>
      </c>
      <c r="E76" s="33">
        <f t="shared" si="5"/>
        <v>6057227.0999999996</v>
      </c>
      <c r="F76" s="33"/>
      <c r="G76" s="38">
        <v>28976889.5</v>
      </c>
      <c r="H76" s="82">
        <v>6057227.0999999996</v>
      </c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</row>
    <row r="77" spans="1:20" s="22" customFormat="1" ht="16.5" hidden="1" x14ac:dyDescent="0.25">
      <c r="A77" s="52"/>
      <c r="B77" s="58"/>
      <c r="C77" s="55"/>
      <c r="D77" s="33">
        <f t="shared" si="4"/>
        <v>0</v>
      </c>
      <c r="E77" s="33">
        <f t="shared" si="5"/>
        <v>0</v>
      </c>
      <c r="F77" s="33"/>
      <c r="G77" s="21"/>
      <c r="H77" s="84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</row>
    <row r="78" spans="1:20" s="20" customFormat="1" ht="17.25" x14ac:dyDescent="0.25">
      <c r="A78" s="59" t="s">
        <v>21</v>
      </c>
      <c r="B78" s="48" t="s">
        <v>22</v>
      </c>
      <c r="C78" s="54"/>
      <c r="D78" s="34">
        <f t="shared" si="4"/>
        <v>46089906.5</v>
      </c>
      <c r="E78" s="34">
        <f t="shared" si="5"/>
        <v>22228119.610000003</v>
      </c>
      <c r="F78" s="34"/>
      <c r="G78" s="25">
        <f>SUM(G79:G81)</f>
        <v>46089906.5</v>
      </c>
      <c r="H78" s="83">
        <f>SUM(H79:H81)</f>
        <v>22228119.610000003</v>
      </c>
      <c r="I78" s="25">
        <f>SUM(I79:I81)</f>
        <v>0</v>
      </c>
      <c r="J78" s="25"/>
      <c r="K78" s="25">
        <f>SUM(K79:K81)</f>
        <v>0</v>
      </c>
      <c r="L78" s="25"/>
      <c r="M78" s="25">
        <f>SUM(M79:M81)</f>
        <v>0</v>
      </c>
      <c r="N78" s="25"/>
      <c r="O78" s="25">
        <f>SUM(O79:O81)</f>
        <v>0</v>
      </c>
      <c r="P78" s="25"/>
      <c r="Q78" s="25"/>
      <c r="R78" s="25"/>
      <c r="S78" s="25"/>
      <c r="T78" s="25"/>
    </row>
    <row r="79" spans="1:20" s="22" customFormat="1" ht="16.5" x14ac:dyDescent="0.25">
      <c r="A79" s="52"/>
      <c r="B79" s="28" t="s">
        <v>80</v>
      </c>
      <c r="C79" s="55">
        <v>290</v>
      </c>
      <c r="D79" s="33">
        <f t="shared" si="4"/>
        <v>21724419</v>
      </c>
      <c r="E79" s="33">
        <f t="shared" si="5"/>
        <v>10960382.5</v>
      </c>
      <c r="F79" s="33"/>
      <c r="G79" s="38">
        <v>21724419</v>
      </c>
      <c r="H79" s="82">
        <v>10960382.5</v>
      </c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</row>
    <row r="80" spans="1:20" s="22" customFormat="1" ht="16.5" x14ac:dyDescent="0.25">
      <c r="A80" s="50"/>
      <c r="B80" s="28" t="s">
        <v>81</v>
      </c>
      <c r="C80" s="55">
        <v>290</v>
      </c>
      <c r="D80" s="33">
        <f t="shared" si="4"/>
        <v>24015057.5</v>
      </c>
      <c r="E80" s="33">
        <f t="shared" si="5"/>
        <v>11128610.060000001</v>
      </c>
      <c r="F80" s="33"/>
      <c r="G80" s="38">
        <v>24015057.5</v>
      </c>
      <c r="H80" s="82">
        <v>11128610.060000001</v>
      </c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spans="1:20" s="22" customFormat="1" ht="16.5" x14ac:dyDescent="0.25">
      <c r="A81" s="50"/>
      <c r="B81" s="28" t="s">
        <v>82</v>
      </c>
      <c r="C81" s="55">
        <v>290</v>
      </c>
      <c r="D81" s="33">
        <f t="shared" si="4"/>
        <v>350430</v>
      </c>
      <c r="E81" s="33">
        <f t="shared" si="5"/>
        <v>139127.04999999999</v>
      </c>
      <c r="F81" s="33"/>
      <c r="G81" s="38">
        <v>350430</v>
      </c>
      <c r="H81" s="82">
        <v>139127.04999999999</v>
      </c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</row>
    <row r="82" spans="1:20" s="20" customFormat="1" ht="17.25" hidden="1" x14ac:dyDescent="0.25">
      <c r="A82" s="59"/>
      <c r="B82" s="48"/>
      <c r="C82" s="54"/>
      <c r="D82" s="33">
        <f t="shared" ref="D82:D151" si="21">SUM(G82+I82+K82+M82+O82+Q82+S82)</f>
        <v>0</v>
      </c>
      <c r="E82" s="33">
        <f t="shared" ref="E82:E151" si="22">SUM(H82+J82+L82+N82+P82+R82+T82)</f>
        <v>0</v>
      </c>
      <c r="F82" s="33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1:20" s="22" customFormat="1" ht="16.5" hidden="1" x14ac:dyDescent="0.25">
      <c r="A83" s="52"/>
      <c r="B83" s="58"/>
      <c r="C83" s="55"/>
      <c r="D83" s="33">
        <f t="shared" si="21"/>
        <v>0</v>
      </c>
      <c r="E83" s="33">
        <f t="shared" si="22"/>
        <v>0</v>
      </c>
      <c r="F83" s="33"/>
      <c r="G83" s="38"/>
      <c r="H83" s="38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</row>
    <row r="84" spans="1:20" s="20" customFormat="1" ht="17.25" x14ac:dyDescent="0.25">
      <c r="A84" s="59" t="s">
        <v>25</v>
      </c>
      <c r="B84" s="48" t="s">
        <v>26</v>
      </c>
      <c r="C84" s="54"/>
      <c r="D84" s="34">
        <f t="shared" si="21"/>
        <v>132857091.56999999</v>
      </c>
      <c r="E84" s="34">
        <f t="shared" si="22"/>
        <v>41417108.040000007</v>
      </c>
      <c r="F84" s="34"/>
      <c r="G84" s="25">
        <f>SUM(G85+G165+G168+G174+G180)</f>
        <v>132857091.56999999</v>
      </c>
      <c r="H84" s="25">
        <f t="shared" ref="H84:J84" si="23">SUM(H85+H165+H168+H174+H180)</f>
        <v>41417108.040000007</v>
      </c>
      <c r="I84" s="25">
        <f t="shared" si="23"/>
        <v>0</v>
      </c>
      <c r="J84" s="25">
        <f t="shared" si="23"/>
        <v>0</v>
      </c>
      <c r="K84" s="25">
        <f>SUM(K85+K165+K168+K174+K180)</f>
        <v>0</v>
      </c>
      <c r="L84" s="25"/>
      <c r="M84" s="25">
        <f>SUM(M85+M165+M168+M174+M180)</f>
        <v>0</v>
      </c>
      <c r="N84" s="25"/>
      <c r="O84" s="25">
        <f>SUM(O85+O165+O168+O174+O180)</f>
        <v>0</v>
      </c>
      <c r="P84" s="25"/>
      <c r="Q84" s="25"/>
      <c r="R84" s="25"/>
      <c r="S84" s="25"/>
      <c r="T84" s="25"/>
    </row>
    <row r="85" spans="1:20" s="20" customFormat="1" ht="51.75" x14ac:dyDescent="0.25">
      <c r="A85" s="59" t="s">
        <v>27</v>
      </c>
      <c r="B85" s="48" t="s">
        <v>83</v>
      </c>
      <c r="C85" s="54"/>
      <c r="D85" s="34">
        <f t="shared" si="21"/>
        <v>131176112.56999999</v>
      </c>
      <c r="E85" s="34">
        <f t="shared" si="22"/>
        <v>41017128.840000004</v>
      </c>
      <c r="F85" s="34"/>
      <c r="G85" s="25">
        <f>SUM(G86+G89+G99+G118+G129+G135)</f>
        <v>131176112.56999999</v>
      </c>
      <c r="H85" s="25">
        <f t="shared" ref="H85:J85" si="24">SUM(H86+H89+H99+H118+H129+H135)</f>
        <v>41017128.840000004</v>
      </c>
      <c r="I85" s="25">
        <f t="shared" si="24"/>
        <v>0</v>
      </c>
      <c r="J85" s="25">
        <f t="shared" si="24"/>
        <v>0</v>
      </c>
      <c r="K85" s="25">
        <f>SUM(K86+K89+K99+K118+K129+K135)</f>
        <v>0</v>
      </c>
      <c r="L85" s="25"/>
      <c r="M85" s="25">
        <f>SUM(M86+M89+M99+M118+M129+M135)</f>
        <v>0</v>
      </c>
      <c r="N85" s="25"/>
      <c r="O85" s="25">
        <f>SUM(O86+O89+O99+O118+O129+O135)</f>
        <v>0</v>
      </c>
      <c r="P85" s="25"/>
      <c r="Q85" s="25"/>
      <c r="R85" s="25"/>
      <c r="S85" s="25"/>
      <c r="T85" s="25"/>
    </row>
    <row r="86" spans="1:20" s="20" customFormat="1" ht="17.25" x14ac:dyDescent="0.25">
      <c r="A86" s="59" t="s">
        <v>84</v>
      </c>
      <c r="B86" s="48" t="s">
        <v>85</v>
      </c>
      <c r="C86" s="54"/>
      <c r="D86" s="34">
        <f t="shared" si="21"/>
        <v>21496345</v>
      </c>
      <c r="E86" s="34">
        <f t="shared" si="22"/>
        <v>4746359</v>
      </c>
      <c r="F86" s="34"/>
      <c r="G86" s="25">
        <f>SUM(G87:G88)</f>
        <v>21496345</v>
      </c>
      <c r="H86" s="25">
        <f t="shared" ref="H86:J86" si="25">SUM(H87:H88)</f>
        <v>4746359</v>
      </c>
      <c r="I86" s="25">
        <f t="shared" si="25"/>
        <v>0</v>
      </c>
      <c r="J86" s="25">
        <f t="shared" si="25"/>
        <v>0</v>
      </c>
      <c r="K86" s="25">
        <f>SUM(K87:K88)</f>
        <v>0</v>
      </c>
      <c r="L86" s="25"/>
      <c r="M86" s="25">
        <f>SUM(M87:M88)</f>
        <v>0</v>
      </c>
      <c r="N86" s="25"/>
      <c r="O86" s="25">
        <f>SUM(O87:O88)</f>
        <v>0</v>
      </c>
      <c r="P86" s="25"/>
      <c r="Q86" s="25"/>
      <c r="R86" s="25"/>
      <c r="S86" s="25"/>
      <c r="T86" s="25"/>
    </row>
    <row r="87" spans="1:20" s="26" customFormat="1" ht="16.5" x14ac:dyDescent="0.25">
      <c r="A87" s="60"/>
      <c r="B87" s="28" t="s">
        <v>86</v>
      </c>
      <c r="C87" s="55">
        <v>225</v>
      </c>
      <c r="D87" s="33">
        <f t="shared" si="21"/>
        <v>20948784</v>
      </c>
      <c r="E87" s="33">
        <f t="shared" si="22"/>
        <v>4746359</v>
      </c>
      <c r="F87" s="33"/>
      <c r="G87" s="38">
        <f>16403028+4059108+486648</f>
        <v>20948784</v>
      </c>
      <c r="H87" s="82">
        <v>4746359</v>
      </c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</row>
    <row r="88" spans="1:20" s="26" customFormat="1" ht="16.5" x14ac:dyDescent="0.25">
      <c r="A88" s="52"/>
      <c r="B88" s="28" t="s">
        <v>87</v>
      </c>
      <c r="C88" s="55">
        <v>226</v>
      </c>
      <c r="D88" s="33">
        <f t="shared" si="21"/>
        <v>547561</v>
      </c>
      <c r="E88" s="33">
        <f t="shared" si="22"/>
        <v>0</v>
      </c>
      <c r="F88" s="33"/>
      <c r="G88" s="38">
        <v>547561</v>
      </c>
      <c r="H88" s="38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</row>
    <row r="89" spans="1:20" s="20" customFormat="1" ht="17.25" x14ac:dyDescent="0.25">
      <c r="A89" s="59" t="s">
        <v>88</v>
      </c>
      <c r="B89" s="48" t="s">
        <v>89</v>
      </c>
      <c r="C89" s="54"/>
      <c r="D89" s="34">
        <f t="shared" si="21"/>
        <v>100500362</v>
      </c>
      <c r="E89" s="34">
        <f t="shared" si="22"/>
        <v>33669494.840000004</v>
      </c>
      <c r="F89" s="34"/>
      <c r="G89" s="25">
        <f>SUM(G90:G98)</f>
        <v>100500362</v>
      </c>
      <c r="H89" s="25">
        <f t="shared" ref="H89:K89" si="26">SUM(H90:H98)</f>
        <v>33669494.840000004</v>
      </c>
      <c r="I89" s="25">
        <f t="shared" si="26"/>
        <v>0</v>
      </c>
      <c r="J89" s="25">
        <f t="shared" si="26"/>
        <v>0</v>
      </c>
      <c r="K89" s="25">
        <f t="shared" si="26"/>
        <v>0</v>
      </c>
      <c r="L89" s="25"/>
      <c r="M89" s="25">
        <f>SUM(M90:M98)</f>
        <v>0</v>
      </c>
      <c r="N89" s="25"/>
      <c r="O89" s="25">
        <f>SUM(O90:O98)</f>
        <v>0</v>
      </c>
      <c r="P89" s="25"/>
      <c r="Q89" s="25"/>
      <c r="R89" s="25"/>
      <c r="S89" s="25"/>
      <c r="T89" s="25"/>
    </row>
    <row r="90" spans="1:20" s="26" customFormat="1" ht="16.5" x14ac:dyDescent="0.25">
      <c r="A90" s="52" t="s">
        <v>90</v>
      </c>
      <c r="B90" s="28" t="s">
        <v>91</v>
      </c>
      <c r="C90" s="55">
        <v>225</v>
      </c>
      <c r="D90" s="33">
        <f t="shared" si="21"/>
        <v>83917971</v>
      </c>
      <c r="E90" s="33">
        <f t="shared" si="22"/>
        <v>23303234.84</v>
      </c>
      <c r="F90" s="33"/>
      <c r="G90" s="38">
        <f>90579773.47+17823519-24485321.47</f>
        <v>83917971</v>
      </c>
      <c r="H90" s="80">
        <v>23303234.84</v>
      </c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</row>
    <row r="91" spans="1:20" s="26" customFormat="1" ht="16.5" x14ac:dyDescent="0.25">
      <c r="A91" s="52" t="s">
        <v>90</v>
      </c>
      <c r="B91" s="28" t="s">
        <v>87</v>
      </c>
      <c r="C91" s="55">
        <v>226</v>
      </c>
      <c r="D91" s="33">
        <f t="shared" si="21"/>
        <v>611081</v>
      </c>
      <c r="E91" s="33">
        <f t="shared" si="22"/>
        <v>643183</v>
      </c>
      <c r="F91" s="33"/>
      <c r="G91" s="38">
        <f>700000+2236361-2325280</f>
        <v>611081</v>
      </c>
      <c r="H91" s="80">
        <v>643183</v>
      </c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</row>
    <row r="92" spans="1:20" s="26" customFormat="1" ht="16.5" x14ac:dyDescent="0.25">
      <c r="A92" s="52" t="s">
        <v>92</v>
      </c>
      <c r="B92" s="28" t="s">
        <v>93</v>
      </c>
      <c r="C92" s="55">
        <v>340</v>
      </c>
      <c r="D92" s="33">
        <f t="shared" si="21"/>
        <v>854143</v>
      </c>
      <c r="E92" s="33">
        <f t="shared" si="22"/>
        <v>854110</v>
      </c>
      <c r="F92" s="33"/>
      <c r="G92" s="38">
        <f>854110+33</f>
        <v>854143</v>
      </c>
      <c r="H92" s="80">
        <v>854110</v>
      </c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</row>
    <row r="93" spans="1:20" s="26" customFormat="1" ht="16.5" x14ac:dyDescent="0.25">
      <c r="A93" s="52" t="s">
        <v>94</v>
      </c>
      <c r="B93" s="28" t="s">
        <v>95</v>
      </c>
      <c r="C93" s="55">
        <v>310</v>
      </c>
      <c r="D93" s="33">
        <f t="shared" si="21"/>
        <v>10258200</v>
      </c>
      <c r="E93" s="33">
        <f t="shared" si="22"/>
        <v>4284935</v>
      </c>
      <c r="F93" s="33"/>
      <c r="G93" s="38">
        <f>6308255+3949945-4266467+4266467</f>
        <v>10258200</v>
      </c>
      <c r="H93" s="80">
        <v>4284935</v>
      </c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</row>
    <row r="94" spans="1:20" s="26" customFormat="1" ht="33" hidden="1" x14ac:dyDescent="0.25">
      <c r="A94" s="52" t="s">
        <v>96</v>
      </c>
      <c r="B94" s="28" t="s">
        <v>97</v>
      </c>
      <c r="C94" s="55">
        <v>225</v>
      </c>
      <c r="D94" s="33">
        <f t="shared" si="21"/>
        <v>0</v>
      </c>
      <c r="E94" s="33">
        <f t="shared" si="22"/>
        <v>0</v>
      </c>
      <c r="F94" s="33"/>
      <c r="G94" s="21"/>
      <c r="H94" s="80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</row>
    <row r="95" spans="1:20" s="26" customFormat="1" ht="33" x14ac:dyDescent="0.25">
      <c r="A95" s="52" t="s">
        <v>96</v>
      </c>
      <c r="B95" s="28" t="s">
        <v>97</v>
      </c>
      <c r="C95" s="55">
        <v>226</v>
      </c>
      <c r="D95" s="33">
        <f t="shared" si="21"/>
        <v>592500</v>
      </c>
      <c r="E95" s="33">
        <f t="shared" si="22"/>
        <v>317565</v>
      </c>
      <c r="F95" s="33"/>
      <c r="G95" s="38">
        <v>592500</v>
      </c>
      <c r="H95" s="80">
        <v>317565</v>
      </c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</row>
    <row r="96" spans="1:20" s="26" customFormat="1" ht="33" x14ac:dyDescent="0.25">
      <c r="A96" s="52" t="s">
        <v>96</v>
      </c>
      <c r="B96" s="28" t="s">
        <v>97</v>
      </c>
      <c r="C96" s="55">
        <v>340</v>
      </c>
      <c r="D96" s="33">
        <f t="shared" si="21"/>
        <v>0</v>
      </c>
      <c r="E96" s="33">
        <f t="shared" si="22"/>
        <v>0</v>
      </c>
      <c r="F96" s="33"/>
      <c r="G96" s="21"/>
      <c r="H96" s="88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</row>
    <row r="97" spans="1:20" s="26" customFormat="1" ht="16.5" x14ac:dyDescent="0.25">
      <c r="A97" s="52" t="s">
        <v>98</v>
      </c>
      <c r="B97" s="28" t="s">
        <v>99</v>
      </c>
      <c r="C97" s="55">
        <v>310</v>
      </c>
      <c r="D97" s="33">
        <f t="shared" si="21"/>
        <v>4266467</v>
      </c>
      <c r="E97" s="33">
        <f t="shared" si="22"/>
        <v>4266467</v>
      </c>
      <c r="F97" s="33"/>
      <c r="G97" s="38">
        <v>4266467</v>
      </c>
      <c r="H97" s="80">
        <v>4266467</v>
      </c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</row>
    <row r="98" spans="1:20" s="26" customFormat="1" ht="16.5" x14ac:dyDescent="0.25">
      <c r="A98" s="52" t="s">
        <v>98</v>
      </c>
      <c r="B98" s="28" t="s">
        <v>99</v>
      </c>
      <c r="C98" s="55">
        <v>340</v>
      </c>
      <c r="D98" s="33">
        <f t="shared" si="21"/>
        <v>0</v>
      </c>
      <c r="E98" s="33">
        <f t="shared" si="22"/>
        <v>0</v>
      </c>
      <c r="F98" s="33"/>
      <c r="G98" s="21"/>
      <c r="H98" s="84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</row>
    <row r="99" spans="1:20" s="18" customFormat="1" ht="17.25" x14ac:dyDescent="0.25">
      <c r="A99" s="61" t="s">
        <v>100</v>
      </c>
      <c r="B99" s="62" t="s">
        <v>101</v>
      </c>
      <c r="C99" s="49"/>
      <c r="D99" s="34">
        <f t="shared" si="21"/>
        <v>4588987</v>
      </c>
      <c r="E99" s="34">
        <f t="shared" si="22"/>
        <v>1995275</v>
      </c>
      <c r="F99" s="34"/>
      <c r="G99" s="34">
        <f>SUM(G100:G117)</f>
        <v>4588987</v>
      </c>
      <c r="H99" s="34">
        <f>SUM(H100:H117)</f>
        <v>1995275</v>
      </c>
      <c r="I99" s="34">
        <f>SUM(I100:I117)</f>
        <v>0</v>
      </c>
      <c r="J99" s="34"/>
      <c r="K99" s="34">
        <f>SUM(K100:K117)</f>
        <v>0</v>
      </c>
      <c r="L99" s="34"/>
      <c r="M99" s="34">
        <f>SUM(M100:M117)</f>
        <v>0</v>
      </c>
      <c r="N99" s="34"/>
      <c r="O99" s="34">
        <f>SUM(O100:O117)</f>
        <v>0</v>
      </c>
      <c r="P99" s="34"/>
      <c r="Q99" s="34"/>
      <c r="R99" s="34"/>
      <c r="S99" s="34"/>
      <c r="T99" s="34"/>
    </row>
    <row r="100" spans="1:20" s="27" customFormat="1" ht="33" x14ac:dyDescent="0.25">
      <c r="A100" s="63" t="s">
        <v>102</v>
      </c>
      <c r="B100" s="58" t="s">
        <v>103</v>
      </c>
      <c r="C100" s="51">
        <v>226</v>
      </c>
      <c r="D100" s="33">
        <f t="shared" si="21"/>
        <v>1995280</v>
      </c>
      <c r="E100" s="33">
        <f t="shared" si="22"/>
        <v>0</v>
      </c>
      <c r="F100" s="33"/>
      <c r="G100" s="38">
        <f>995780+999500</f>
        <v>1995280</v>
      </c>
      <c r="H100" s="84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</row>
    <row r="101" spans="1:20" s="27" customFormat="1" ht="33" x14ac:dyDescent="0.25">
      <c r="A101" s="63" t="s">
        <v>102</v>
      </c>
      <c r="B101" s="58" t="s">
        <v>103</v>
      </c>
      <c r="C101" s="51">
        <v>310</v>
      </c>
      <c r="D101" s="33">
        <f t="shared" si="21"/>
        <v>0</v>
      </c>
      <c r="E101" s="33">
        <f t="shared" si="22"/>
        <v>0</v>
      </c>
      <c r="F101" s="33"/>
      <c r="G101" s="21"/>
      <c r="H101" s="84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</row>
    <row r="102" spans="1:20" s="27" customFormat="1" ht="16.5" x14ac:dyDescent="0.25">
      <c r="A102" s="63" t="s">
        <v>104</v>
      </c>
      <c r="B102" s="58" t="s">
        <v>105</v>
      </c>
      <c r="C102" s="51">
        <v>226</v>
      </c>
      <c r="D102" s="33">
        <f t="shared" si="21"/>
        <v>0</v>
      </c>
      <c r="E102" s="33">
        <f t="shared" si="22"/>
        <v>0</v>
      </c>
      <c r="F102" s="33"/>
      <c r="G102" s="21"/>
      <c r="H102" s="84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</row>
    <row r="103" spans="1:20" s="27" customFormat="1" ht="16.5" x14ac:dyDescent="0.25">
      <c r="A103" s="63" t="s">
        <v>104</v>
      </c>
      <c r="B103" s="58" t="s">
        <v>105</v>
      </c>
      <c r="C103" s="51">
        <v>310</v>
      </c>
      <c r="D103" s="33">
        <f t="shared" si="21"/>
        <v>0</v>
      </c>
      <c r="E103" s="33">
        <f t="shared" si="22"/>
        <v>0</v>
      </c>
      <c r="F103" s="33"/>
      <c r="G103" s="21"/>
      <c r="H103" s="84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</row>
    <row r="104" spans="1:20" s="27" customFormat="1" ht="16.5" x14ac:dyDescent="0.25">
      <c r="A104" s="63" t="s">
        <v>106</v>
      </c>
      <c r="B104" s="28" t="s">
        <v>107</v>
      </c>
      <c r="C104" s="51">
        <v>340</v>
      </c>
      <c r="D104" s="33">
        <f t="shared" si="21"/>
        <v>0</v>
      </c>
      <c r="E104" s="33">
        <f t="shared" si="22"/>
        <v>0</v>
      </c>
      <c r="F104" s="33"/>
      <c r="G104" s="21"/>
      <c r="H104" s="84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</row>
    <row r="105" spans="1:20" s="27" customFormat="1" ht="16.5" x14ac:dyDescent="0.25">
      <c r="A105" s="63" t="s">
        <v>108</v>
      </c>
      <c r="B105" s="58" t="s">
        <v>109</v>
      </c>
      <c r="C105" s="51">
        <v>226</v>
      </c>
      <c r="D105" s="33">
        <f t="shared" si="21"/>
        <v>1995277</v>
      </c>
      <c r="E105" s="33">
        <f t="shared" si="22"/>
        <v>999500</v>
      </c>
      <c r="F105" s="33"/>
      <c r="G105" s="38">
        <v>1995277</v>
      </c>
      <c r="H105" s="80">
        <v>999500</v>
      </c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</row>
    <row r="106" spans="1:20" s="27" customFormat="1" ht="16.5" hidden="1" x14ac:dyDescent="0.25">
      <c r="A106" s="63" t="s">
        <v>108</v>
      </c>
      <c r="B106" s="58" t="s">
        <v>109</v>
      </c>
      <c r="C106" s="51">
        <v>310</v>
      </c>
      <c r="D106" s="33">
        <f t="shared" si="21"/>
        <v>0</v>
      </c>
      <c r="E106" s="33">
        <f t="shared" si="22"/>
        <v>0</v>
      </c>
      <c r="F106" s="33"/>
      <c r="G106" s="21"/>
      <c r="H106" s="82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</row>
    <row r="107" spans="1:20" s="27" customFormat="1" ht="16.5" x14ac:dyDescent="0.25">
      <c r="A107" s="63" t="s">
        <v>110</v>
      </c>
      <c r="B107" s="58" t="s">
        <v>111</v>
      </c>
      <c r="C107" s="51">
        <v>226</v>
      </c>
      <c r="D107" s="33">
        <f t="shared" si="21"/>
        <v>50000</v>
      </c>
      <c r="E107" s="33">
        <f t="shared" si="22"/>
        <v>0</v>
      </c>
      <c r="F107" s="33"/>
      <c r="G107" s="38">
        <v>50000</v>
      </c>
      <c r="H107" s="82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</row>
    <row r="108" spans="1:20" s="27" customFormat="1" ht="16.5" x14ac:dyDescent="0.25">
      <c r="A108" s="63" t="s">
        <v>112</v>
      </c>
      <c r="B108" s="58" t="s">
        <v>113</v>
      </c>
      <c r="C108" s="51">
        <v>226</v>
      </c>
      <c r="D108" s="33">
        <f t="shared" si="21"/>
        <v>30000</v>
      </c>
      <c r="E108" s="33">
        <f t="shared" si="22"/>
        <v>995775</v>
      </c>
      <c r="F108" s="33"/>
      <c r="G108" s="38">
        <v>30000</v>
      </c>
      <c r="H108" s="80">
        <v>995775</v>
      </c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</row>
    <row r="109" spans="1:20" s="27" customFormat="1" ht="33" hidden="1" x14ac:dyDescent="0.25">
      <c r="A109" s="63" t="s">
        <v>114</v>
      </c>
      <c r="B109" s="58" t="s">
        <v>115</v>
      </c>
      <c r="C109" s="51">
        <v>225</v>
      </c>
      <c r="D109" s="33">
        <f t="shared" si="21"/>
        <v>0</v>
      </c>
      <c r="E109" s="33">
        <f t="shared" si="22"/>
        <v>0</v>
      </c>
      <c r="F109" s="33"/>
      <c r="G109" s="38"/>
      <c r="H109" s="82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</row>
    <row r="110" spans="1:20" s="27" customFormat="1" ht="16.5" x14ac:dyDescent="0.25">
      <c r="A110" s="63" t="s">
        <v>116</v>
      </c>
      <c r="B110" s="58" t="s">
        <v>117</v>
      </c>
      <c r="C110" s="51">
        <v>225</v>
      </c>
      <c r="D110" s="33">
        <f t="shared" si="21"/>
        <v>518430</v>
      </c>
      <c r="E110" s="33">
        <f t="shared" si="22"/>
        <v>0</v>
      </c>
      <c r="F110" s="33"/>
      <c r="G110" s="38">
        <v>518430</v>
      </c>
      <c r="H110" s="82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</row>
    <row r="111" spans="1:20" s="27" customFormat="1" ht="16.5" hidden="1" x14ac:dyDescent="0.25">
      <c r="A111" s="63" t="s">
        <v>118</v>
      </c>
      <c r="B111" s="58" t="s">
        <v>119</v>
      </c>
      <c r="C111" s="51">
        <v>225</v>
      </c>
      <c r="D111" s="33">
        <f t="shared" si="21"/>
        <v>0</v>
      </c>
      <c r="E111" s="33">
        <f t="shared" si="22"/>
        <v>0</v>
      </c>
      <c r="F111" s="33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</row>
    <row r="112" spans="1:20" s="27" customFormat="1" ht="16.5" hidden="1" x14ac:dyDescent="0.25">
      <c r="A112" s="63" t="s">
        <v>118</v>
      </c>
      <c r="B112" s="58" t="s">
        <v>119</v>
      </c>
      <c r="C112" s="51">
        <v>340</v>
      </c>
      <c r="D112" s="33">
        <f t="shared" si="21"/>
        <v>0</v>
      </c>
      <c r="E112" s="33">
        <f t="shared" si="22"/>
        <v>0</v>
      </c>
      <c r="F112" s="33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</row>
    <row r="113" spans="1:20" s="27" customFormat="1" ht="16.5" hidden="1" x14ac:dyDescent="0.25">
      <c r="A113" s="63" t="s">
        <v>120</v>
      </c>
      <c r="B113" s="58" t="s">
        <v>121</v>
      </c>
      <c r="C113" s="51">
        <v>225</v>
      </c>
      <c r="D113" s="33">
        <f t="shared" si="21"/>
        <v>0</v>
      </c>
      <c r="E113" s="33">
        <f t="shared" si="22"/>
        <v>0</v>
      </c>
      <c r="F113" s="33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</row>
    <row r="114" spans="1:20" s="27" customFormat="1" ht="16.5" hidden="1" x14ac:dyDescent="0.25">
      <c r="A114" s="63" t="s">
        <v>122</v>
      </c>
      <c r="B114" s="58" t="s">
        <v>123</v>
      </c>
      <c r="C114" s="51">
        <v>225</v>
      </c>
      <c r="D114" s="33">
        <f t="shared" si="21"/>
        <v>0</v>
      </c>
      <c r="E114" s="33">
        <f t="shared" si="22"/>
        <v>0</v>
      </c>
      <c r="F114" s="33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</row>
    <row r="115" spans="1:20" s="27" customFormat="1" ht="16.5" hidden="1" x14ac:dyDescent="0.25">
      <c r="A115" s="63" t="s">
        <v>122</v>
      </c>
      <c r="B115" s="58" t="s">
        <v>123</v>
      </c>
      <c r="C115" s="51">
        <v>310</v>
      </c>
      <c r="D115" s="33">
        <f t="shared" si="21"/>
        <v>0</v>
      </c>
      <c r="E115" s="33">
        <f t="shared" si="22"/>
        <v>0</v>
      </c>
      <c r="F115" s="33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</row>
    <row r="116" spans="1:20" s="27" customFormat="1" ht="16.5" hidden="1" x14ac:dyDescent="0.25">
      <c r="A116" s="63" t="s">
        <v>124</v>
      </c>
      <c r="B116" s="58" t="s">
        <v>125</v>
      </c>
      <c r="C116" s="51">
        <v>225</v>
      </c>
      <c r="D116" s="33">
        <f t="shared" si="21"/>
        <v>0</v>
      </c>
      <c r="E116" s="33">
        <f t="shared" si="22"/>
        <v>0</v>
      </c>
      <c r="F116" s="33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</row>
    <row r="117" spans="1:20" s="29" customFormat="1" ht="16.5" hidden="1" x14ac:dyDescent="0.25">
      <c r="A117" s="63" t="s">
        <v>126</v>
      </c>
      <c r="B117" s="28" t="s">
        <v>127</v>
      </c>
      <c r="C117" s="51">
        <v>226</v>
      </c>
      <c r="D117" s="33">
        <f t="shared" si="21"/>
        <v>0</v>
      </c>
      <c r="E117" s="33">
        <f t="shared" si="22"/>
        <v>0</v>
      </c>
      <c r="F117" s="33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</row>
    <row r="118" spans="1:20" s="18" customFormat="1" ht="17.25" x14ac:dyDescent="0.25">
      <c r="A118" s="61" t="s">
        <v>128</v>
      </c>
      <c r="B118" s="62" t="s">
        <v>129</v>
      </c>
      <c r="C118" s="49"/>
      <c r="D118" s="34">
        <f t="shared" si="21"/>
        <v>0</v>
      </c>
      <c r="E118" s="34">
        <f t="shared" si="22"/>
        <v>0</v>
      </c>
      <c r="F118" s="34"/>
      <c r="G118" s="34">
        <f t="shared" ref="G118:S118" si="27">SUM(G119:G122)</f>
        <v>0</v>
      </c>
      <c r="H118" s="34"/>
      <c r="I118" s="34">
        <f t="shared" si="27"/>
        <v>0</v>
      </c>
      <c r="J118" s="34"/>
      <c r="K118" s="34">
        <f t="shared" si="27"/>
        <v>0</v>
      </c>
      <c r="L118" s="34"/>
      <c r="M118" s="34">
        <f t="shared" si="27"/>
        <v>0</v>
      </c>
      <c r="N118" s="34"/>
      <c r="O118" s="34">
        <f t="shared" si="27"/>
        <v>0</v>
      </c>
      <c r="P118" s="34"/>
      <c r="Q118" s="34"/>
      <c r="R118" s="34"/>
      <c r="S118" s="34">
        <f t="shared" si="27"/>
        <v>0</v>
      </c>
      <c r="T118" s="34">
        <f t="shared" ref="T118" si="28">SUM(T119:T122)</f>
        <v>0</v>
      </c>
    </row>
    <row r="119" spans="1:20" s="27" customFormat="1" ht="16.5" hidden="1" x14ac:dyDescent="0.25">
      <c r="A119" s="63" t="s">
        <v>130</v>
      </c>
      <c r="B119" s="58" t="s">
        <v>131</v>
      </c>
      <c r="C119" s="51">
        <v>310</v>
      </c>
      <c r="D119" s="33">
        <f t="shared" si="21"/>
        <v>0</v>
      </c>
      <c r="E119" s="33">
        <f t="shared" si="22"/>
        <v>0</v>
      </c>
      <c r="F119" s="33"/>
      <c r="G119" s="21"/>
      <c r="H119" s="21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21"/>
      <c r="T119" s="21"/>
    </row>
    <row r="120" spans="1:20" s="27" customFormat="1" ht="33" x14ac:dyDescent="0.25">
      <c r="A120" s="63" t="s">
        <v>132</v>
      </c>
      <c r="B120" s="58" t="s">
        <v>133</v>
      </c>
      <c r="C120" s="51">
        <v>310</v>
      </c>
      <c r="D120" s="33">
        <f t="shared" si="21"/>
        <v>0</v>
      </c>
      <c r="E120" s="33">
        <f t="shared" si="22"/>
        <v>0</v>
      </c>
      <c r="F120" s="33"/>
      <c r="G120" s="38">
        <v>0</v>
      </c>
      <c r="H120" s="38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21"/>
      <c r="T120" s="21"/>
    </row>
    <row r="121" spans="1:20" s="27" customFormat="1" ht="16.5" x14ac:dyDescent="0.25">
      <c r="A121" s="63" t="s">
        <v>134</v>
      </c>
      <c r="B121" s="58" t="s">
        <v>135</v>
      </c>
      <c r="C121" s="51">
        <v>310</v>
      </c>
      <c r="D121" s="33">
        <f t="shared" si="21"/>
        <v>0</v>
      </c>
      <c r="E121" s="33">
        <f t="shared" si="22"/>
        <v>0</v>
      </c>
      <c r="F121" s="33"/>
      <c r="G121" s="21"/>
      <c r="H121" s="21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21"/>
      <c r="T121" s="21"/>
    </row>
    <row r="122" spans="1:20" s="27" customFormat="1" ht="16.5" x14ac:dyDescent="0.25">
      <c r="A122" s="63" t="s">
        <v>136</v>
      </c>
      <c r="B122" s="58" t="s">
        <v>137</v>
      </c>
      <c r="C122" s="51">
        <v>226</v>
      </c>
      <c r="D122" s="33">
        <f t="shared" si="21"/>
        <v>0</v>
      </c>
      <c r="E122" s="33">
        <f t="shared" si="22"/>
        <v>0</v>
      </c>
      <c r="F122" s="33"/>
      <c r="G122" s="21"/>
      <c r="H122" s="21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21"/>
      <c r="T122" s="21"/>
    </row>
    <row r="123" spans="1:20" s="27" customFormat="1" ht="16.5" x14ac:dyDescent="0.25">
      <c r="A123" s="63"/>
      <c r="B123" s="58"/>
      <c r="C123" s="51"/>
      <c r="D123" s="33">
        <f t="shared" si="21"/>
        <v>0</v>
      </c>
      <c r="E123" s="33">
        <f t="shared" si="22"/>
        <v>0</v>
      </c>
      <c r="F123" s="33"/>
      <c r="G123" s="21"/>
      <c r="H123" s="21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21"/>
      <c r="T123" s="21"/>
    </row>
    <row r="124" spans="1:20" s="27" customFormat="1" ht="16.5" x14ac:dyDescent="0.25">
      <c r="A124" s="63"/>
      <c r="B124" s="58"/>
      <c r="C124" s="51"/>
      <c r="D124" s="33"/>
      <c r="E124" s="33"/>
      <c r="F124" s="33"/>
      <c r="G124" s="21"/>
      <c r="H124" s="21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21"/>
      <c r="T124" s="21"/>
    </row>
    <row r="125" spans="1:20" s="27" customFormat="1" ht="16.5" x14ac:dyDescent="0.25">
      <c r="A125" s="63"/>
      <c r="B125" s="58"/>
      <c r="C125" s="51"/>
      <c r="D125" s="33"/>
      <c r="E125" s="33"/>
      <c r="F125" s="33"/>
      <c r="G125" s="21"/>
      <c r="H125" s="21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21"/>
      <c r="T125" s="21"/>
    </row>
    <row r="126" spans="1:20" s="27" customFormat="1" ht="16.5" x14ac:dyDescent="0.25">
      <c r="A126" s="63"/>
      <c r="B126" s="58"/>
      <c r="C126" s="51"/>
      <c r="D126" s="33">
        <f t="shared" si="21"/>
        <v>0</v>
      </c>
      <c r="E126" s="33">
        <f t="shared" si="22"/>
        <v>0</v>
      </c>
      <c r="F126" s="33"/>
      <c r="G126" s="21"/>
      <c r="H126" s="21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21"/>
      <c r="T126" s="21"/>
    </row>
    <row r="127" spans="1:20" s="27" customFormat="1" ht="16.5" x14ac:dyDescent="0.25">
      <c r="A127" s="63"/>
      <c r="B127" s="58"/>
      <c r="C127" s="51"/>
      <c r="D127" s="33">
        <f t="shared" si="21"/>
        <v>0</v>
      </c>
      <c r="E127" s="33">
        <f t="shared" si="22"/>
        <v>0</v>
      </c>
      <c r="F127" s="33"/>
      <c r="G127" s="21"/>
      <c r="H127" s="21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21"/>
      <c r="T127" s="21"/>
    </row>
    <row r="128" spans="1:20" s="27" customFormat="1" ht="16.5" x14ac:dyDescent="0.25">
      <c r="A128" s="63"/>
      <c r="B128" s="58"/>
      <c r="C128" s="51"/>
      <c r="D128" s="33">
        <f t="shared" si="21"/>
        <v>0</v>
      </c>
      <c r="E128" s="33">
        <f t="shared" si="22"/>
        <v>0</v>
      </c>
      <c r="F128" s="33"/>
      <c r="G128" s="21"/>
      <c r="H128" s="21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21"/>
      <c r="T128" s="21"/>
    </row>
    <row r="129" spans="1:20" s="18" customFormat="1" ht="17.25" x14ac:dyDescent="0.25">
      <c r="A129" s="65" t="s">
        <v>138</v>
      </c>
      <c r="B129" s="66" t="s">
        <v>139</v>
      </c>
      <c r="C129" s="67"/>
      <c r="D129" s="33">
        <f t="shared" si="21"/>
        <v>0</v>
      </c>
      <c r="E129" s="33">
        <f t="shared" si="22"/>
        <v>0</v>
      </c>
      <c r="F129" s="33"/>
      <c r="G129" s="34">
        <f t="shared" ref="G129:T129" si="29">SUM(G130:G130)</f>
        <v>0</v>
      </c>
      <c r="H129" s="34"/>
      <c r="I129" s="34">
        <f t="shared" si="29"/>
        <v>0</v>
      </c>
      <c r="J129" s="34"/>
      <c r="K129" s="34">
        <f t="shared" si="29"/>
        <v>0</v>
      </c>
      <c r="L129" s="34"/>
      <c r="M129" s="34">
        <f t="shared" si="29"/>
        <v>0</v>
      </c>
      <c r="N129" s="34"/>
      <c r="O129" s="34">
        <f t="shared" si="29"/>
        <v>0</v>
      </c>
      <c r="P129" s="34"/>
      <c r="Q129" s="34"/>
      <c r="R129" s="34"/>
      <c r="S129" s="34">
        <f t="shared" si="29"/>
        <v>0</v>
      </c>
      <c r="T129" s="34">
        <f t="shared" si="29"/>
        <v>0</v>
      </c>
    </row>
    <row r="130" spans="1:20" s="29" customFormat="1" ht="16.5" x14ac:dyDescent="0.25">
      <c r="A130" s="68"/>
      <c r="B130" s="64" t="s">
        <v>140</v>
      </c>
      <c r="C130" s="69">
        <v>226</v>
      </c>
      <c r="D130" s="33">
        <f t="shared" si="21"/>
        <v>0</v>
      </c>
      <c r="E130" s="33">
        <f t="shared" si="22"/>
        <v>0</v>
      </c>
      <c r="F130" s="33"/>
      <c r="G130" s="21"/>
      <c r="H130" s="21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21"/>
      <c r="T130" s="21"/>
    </row>
    <row r="131" spans="1:20" s="29" customFormat="1" ht="16.5" x14ac:dyDescent="0.25">
      <c r="A131" s="68"/>
      <c r="B131" s="64"/>
      <c r="C131" s="69"/>
      <c r="D131" s="33"/>
      <c r="E131" s="33"/>
      <c r="F131" s="33"/>
      <c r="G131" s="21"/>
      <c r="H131" s="21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21"/>
      <c r="T131" s="21"/>
    </row>
    <row r="132" spans="1:20" s="29" customFormat="1" ht="16.5" x14ac:dyDescent="0.25">
      <c r="A132" s="68"/>
      <c r="B132" s="64"/>
      <c r="C132" s="69"/>
      <c r="D132" s="33"/>
      <c r="E132" s="33"/>
      <c r="F132" s="33"/>
      <c r="G132" s="21"/>
      <c r="H132" s="21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21"/>
      <c r="T132" s="21"/>
    </row>
    <row r="133" spans="1:20" s="29" customFormat="1" ht="16.5" x14ac:dyDescent="0.25">
      <c r="A133" s="68"/>
      <c r="B133" s="64"/>
      <c r="C133" s="69"/>
      <c r="D133" s="33"/>
      <c r="E133" s="33"/>
      <c r="F133" s="33"/>
      <c r="G133" s="21"/>
      <c r="H133" s="21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21"/>
      <c r="T133" s="21"/>
    </row>
    <row r="134" spans="1:20" s="29" customFormat="1" ht="16.5" x14ac:dyDescent="0.25">
      <c r="A134" s="68"/>
      <c r="B134" s="64"/>
      <c r="C134" s="69"/>
      <c r="D134" s="33"/>
      <c r="E134" s="33"/>
      <c r="F134" s="33"/>
      <c r="G134" s="21"/>
      <c r="H134" s="21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21"/>
      <c r="T134" s="21"/>
    </row>
    <row r="135" spans="1:20" s="18" customFormat="1" ht="17.25" x14ac:dyDescent="0.25">
      <c r="A135" s="61" t="s">
        <v>141</v>
      </c>
      <c r="B135" s="62" t="s">
        <v>142</v>
      </c>
      <c r="C135" s="49"/>
      <c r="D135" s="34">
        <f t="shared" si="21"/>
        <v>4590418.57</v>
      </c>
      <c r="E135" s="34">
        <f t="shared" si="22"/>
        <v>606000</v>
      </c>
      <c r="F135" s="34"/>
      <c r="G135" s="34">
        <f>SUM(G136:G164)</f>
        <v>4590418.57</v>
      </c>
      <c r="H135" s="34">
        <f>SUM(H136:H164)</f>
        <v>606000</v>
      </c>
      <c r="I135" s="34">
        <f t="shared" ref="I135:S135" si="30">SUM(I136:I164)</f>
        <v>0</v>
      </c>
      <c r="J135" s="34"/>
      <c r="K135" s="34">
        <f t="shared" si="30"/>
        <v>0</v>
      </c>
      <c r="L135" s="34"/>
      <c r="M135" s="34">
        <f t="shared" si="30"/>
        <v>0</v>
      </c>
      <c r="N135" s="34"/>
      <c r="O135" s="34">
        <f t="shared" si="30"/>
        <v>0</v>
      </c>
      <c r="P135" s="34"/>
      <c r="Q135" s="34"/>
      <c r="R135" s="34"/>
      <c r="S135" s="34">
        <f t="shared" si="30"/>
        <v>0</v>
      </c>
      <c r="T135" s="34">
        <f t="shared" ref="T135" si="31">SUM(T136:T164)</f>
        <v>0</v>
      </c>
    </row>
    <row r="136" spans="1:20" s="29" customFormat="1" ht="16.5" hidden="1" x14ac:dyDescent="0.25">
      <c r="A136" s="63" t="s">
        <v>143</v>
      </c>
      <c r="B136" s="58" t="s">
        <v>144</v>
      </c>
      <c r="C136" s="51">
        <v>226</v>
      </c>
      <c r="D136" s="33">
        <f t="shared" si="21"/>
        <v>0</v>
      </c>
      <c r="E136" s="33">
        <f t="shared" si="22"/>
        <v>0</v>
      </c>
      <c r="F136" s="33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</row>
    <row r="137" spans="1:20" s="6" customFormat="1" ht="16.5" hidden="1" x14ac:dyDescent="0.25">
      <c r="A137" s="63" t="s">
        <v>143</v>
      </c>
      <c r="B137" s="58" t="s">
        <v>144</v>
      </c>
      <c r="C137" s="51">
        <v>310</v>
      </c>
      <c r="D137" s="33">
        <f t="shared" si="21"/>
        <v>0</v>
      </c>
      <c r="E137" s="33">
        <f t="shared" si="22"/>
        <v>0</v>
      </c>
      <c r="F137" s="33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</row>
    <row r="138" spans="1:20" s="6" customFormat="1" ht="16.5" hidden="1" x14ac:dyDescent="0.25">
      <c r="A138" s="63" t="s">
        <v>145</v>
      </c>
      <c r="B138" s="58" t="s">
        <v>146</v>
      </c>
      <c r="C138" s="51">
        <v>226</v>
      </c>
      <c r="D138" s="33">
        <f t="shared" si="21"/>
        <v>0</v>
      </c>
      <c r="E138" s="33">
        <f t="shared" si="22"/>
        <v>0</v>
      </c>
      <c r="F138" s="33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</row>
    <row r="139" spans="1:20" s="6" customFormat="1" ht="16.5" hidden="1" x14ac:dyDescent="0.25">
      <c r="A139" s="63" t="s">
        <v>145</v>
      </c>
      <c r="B139" s="58" t="s">
        <v>146</v>
      </c>
      <c r="C139" s="51">
        <v>310</v>
      </c>
      <c r="D139" s="33">
        <f t="shared" si="21"/>
        <v>0</v>
      </c>
      <c r="E139" s="33">
        <f t="shared" si="22"/>
        <v>0</v>
      </c>
      <c r="F139" s="33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</row>
    <row r="140" spans="1:20" s="6" customFormat="1" ht="16.5" x14ac:dyDescent="0.25">
      <c r="A140" s="63" t="s">
        <v>147</v>
      </c>
      <c r="B140" s="58" t="s">
        <v>148</v>
      </c>
      <c r="C140" s="51">
        <v>310</v>
      </c>
      <c r="D140" s="33">
        <f t="shared" si="21"/>
        <v>400000</v>
      </c>
      <c r="E140" s="33">
        <f t="shared" si="22"/>
        <v>0</v>
      </c>
      <c r="F140" s="33"/>
      <c r="G140" s="38">
        <v>400000</v>
      </c>
      <c r="H140" s="82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</row>
    <row r="141" spans="1:20" s="6" customFormat="1" ht="33" hidden="1" x14ac:dyDescent="0.25">
      <c r="A141" s="63" t="s">
        <v>149</v>
      </c>
      <c r="B141" s="58" t="s">
        <v>150</v>
      </c>
      <c r="C141" s="51">
        <v>310</v>
      </c>
      <c r="D141" s="33">
        <f t="shared" si="21"/>
        <v>0</v>
      </c>
      <c r="E141" s="33">
        <f t="shared" si="22"/>
        <v>0</v>
      </c>
      <c r="F141" s="33"/>
      <c r="G141" s="21"/>
      <c r="H141" s="84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</row>
    <row r="142" spans="1:20" s="6" customFormat="1" ht="33" hidden="1" x14ac:dyDescent="0.25">
      <c r="A142" s="63" t="s">
        <v>151</v>
      </c>
      <c r="B142" s="58" t="s">
        <v>152</v>
      </c>
      <c r="C142" s="51">
        <v>310</v>
      </c>
      <c r="D142" s="33">
        <f t="shared" si="21"/>
        <v>0</v>
      </c>
      <c r="E142" s="33">
        <f t="shared" si="22"/>
        <v>0</v>
      </c>
      <c r="F142" s="33"/>
      <c r="G142" s="21"/>
      <c r="H142" s="84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</row>
    <row r="143" spans="1:20" s="6" customFormat="1" ht="33" hidden="1" x14ac:dyDescent="0.25">
      <c r="A143" s="63" t="s">
        <v>153</v>
      </c>
      <c r="B143" s="28" t="s">
        <v>154</v>
      </c>
      <c r="C143" s="51">
        <v>226</v>
      </c>
      <c r="D143" s="33">
        <f t="shared" si="21"/>
        <v>0</v>
      </c>
      <c r="E143" s="33">
        <f t="shared" si="22"/>
        <v>0</v>
      </c>
      <c r="F143" s="33"/>
      <c r="G143" s="21"/>
      <c r="H143" s="84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</row>
    <row r="144" spans="1:20" s="6" customFormat="1" ht="16.5" hidden="1" x14ac:dyDescent="0.25">
      <c r="A144" s="63" t="s">
        <v>155</v>
      </c>
      <c r="B144" s="28" t="s">
        <v>156</v>
      </c>
      <c r="C144" s="51">
        <v>226</v>
      </c>
      <c r="D144" s="33">
        <f t="shared" si="21"/>
        <v>0</v>
      </c>
      <c r="E144" s="33">
        <f t="shared" si="22"/>
        <v>0</v>
      </c>
      <c r="F144" s="33"/>
      <c r="G144" s="21"/>
      <c r="H144" s="84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</row>
    <row r="145" spans="1:20" s="6" customFormat="1" ht="16.5" hidden="1" x14ac:dyDescent="0.25">
      <c r="A145" s="63" t="s">
        <v>155</v>
      </c>
      <c r="B145" s="28" t="s">
        <v>157</v>
      </c>
      <c r="C145" s="51">
        <v>310</v>
      </c>
      <c r="D145" s="33">
        <f t="shared" si="21"/>
        <v>0</v>
      </c>
      <c r="E145" s="33">
        <f t="shared" si="22"/>
        <v>0</v>
      </c>
      <c r="F145" s="33"/>
      <c r="G145" s="21"/>
      <c r="H145" s="84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</row>
    <row r="146" spans="1:20" s="6" customFormat="1" ht="16.5" hidden="1" x14ac:dyDescent="0.25">
      <c r="A146" s="63" t="s">
        <v>155</v>
      </c>
      <c r="B146" s="28" t="s">
        <v>157</v>
      </c>
      <c r="C146" s="51">
        <v>340</v>
      </c>
      <c r="D146" s="33">
        <f t="shared" si="21"/>
        <v>0</v>
      </c>
      <c r="E146" s="33">
        <f t="shared" si="22"/>
        <v>0</v>
      </c>
      <c r="F146" s="33"/>
      <c r="G146" s="21"/>
      <c r="H146" s="84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</row>
    <row r="147" spans="1:20" s="6" customFormat="1" ht="16.5" hidden="1" x14ac:dyDescent="0.25">
      <c r="A147" s="63" t="s">
        <v>158</v>
      </c>
      <c r="B147" s="28" t="s">
        <v>159</v>
      </c>
      <c r="C147" s="51">
        <v>226</v>
      </c>
      <c r="D147" s="33">
        <f t="shared" si="21"/>
        <v>0</v>
      </c>
      <c r="E147" s="33">
        <f t="shared" si="22"/>
        <v>0</v>
      </c>
      <c r="F147" s="33"/>
      <c r="G147" s="21"/>
      <c r="H147" s="84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</row>
    <row r="148" spans="1:20" s="6" customFormat="1" ht="49.5" x14ac:dyDescent="0.25">
      <c r="A148" s="63" t="s">
        <v>160</v>
      </c>
      <c r="B148" s="28" t="s">
        <v>284</v>
      </c>
      <c r="C148" s="51">
        <v>226</v>
      </c>
      <c r="D148" s="33">
        <f t="shared" si="21"/>
        <v>24000</v>
      </c>
      <c r="E148" s="33">
        <f t="shared" si="22"/>
        <v>12000</v>
      </c>
      <c r="F148" s="33"/>
      <c r="G148" s="38">
        <v>24000</v>
      </c>
      <c r="H148" s="80">
        <v>12000</v>
      </c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</row>
    <row r="149" spans="1:20" s="6" customFormat="1" ht="33" x14ac:dyDescent="0.25">
      <c r="A149" s="63" t="s">
        <v>162</v>
      </c>
      <c r="B149" s="28" t="s">
        <v>163</v>
      </c>
      <c r="C149" s="51">
        <v>226</v>
      </c>
      <c r="D149" s="33">
        <f t="shared" si="21"/>
        <v>3074418.5700000003</v>
      </c>
      <c r="E149" s="33">
        <f t="shared" si="22"/>
        <v>0</v>
      </c>
      <c r="F149" s="33"/>
      <c r="G149" s="38">
        <f>11607020.77-8604602.2-269373.6+341373.6</f>
        <v>3074418.5700000003</v>
      </c>
      <c r="H149" s="80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</row>
    <row r="150" spans="1:20" s="6" customFormat="1" ht="16.5" hidden="1" x14ac:dyDescent="0.25">
      <c r="A150" s="63" t="s">
        <v>164</v>
      </c>
      <c r="B150" s="28" t="s">
        <v>165</v>
      </c>
      <c r="C150" s="51">
        <v>310</v>
      </c>
      <c r="D150" s="33">
        <f t="shared" si="21"/>
        <v>0</v>
      </c>
      <c r="E150" s="33">
        <f t="shared" si="22"/>
        <v>0</v>
      </c>
      <c r="F150" s="33"/>
      <c r="G150" s="21"/>
      <c r="H150" s="80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</row>
    <row r="151" spans="1:20" s="6" customFormat="1" ht="33" hidden="1" x14ac:dyDescent="0.25">
      <c r="A151" s="63" t="s">
        <v>166</v>
      </c>
      <c r="B151" s="28" t="s">
        <v>167</v>
      </c>
      <c r="C151" s="51">
        <v>226</v>
      </c>
      <c r="D151" s="33">
        <f t="shared" si="21"/>
        <v>0</v>
      </c>
      <c r="E151" s="33">
        <f t="shared" si="22"/>
        <v>0</v>
      </c>
      <c r="F151" s="33"/>
      <c r="G151" s="21"/>
      <c r="H151" s="80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</row>
    <row r="152" spans="1:20" s="6" customFormat="1" ht="33" hidden="1" x14ac:dyDescent="0.25">
      <c r="A152" s="63" t="s">
        <v>166</v>
      </c>
      <c r="B152" s="28" t="s">
        <v>167</v>
      </c>
      <c r="C152" s="51">
        <v>310</v>
      </c>
      <c r="D152" s="33">
        <f t="shared" ref="D152:D215" si="32">SUM(G152+I152+K152+M152+O152+Q152+S152)</f>
        <v>0</v>
      </c>
      <c r="E152" s="33">
        <f t="shared" ref="E152:E215" si="33">SUM(H152+J152+L152+N152+P152+R152+T152)</f>
        <v>0</v>
      </c>
      <c r="F152" s="33"/>
      <c r="G152" s="21"/>
      <c r="H152" s="80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</row>
    <row r="153" spans="1:20" s="6" customFormat="1" ht="33" x14ac:dyDescent="0.25">
      <c r="A153" s="63" t="s">
        <v>168</v>
      </c>
      <c r="B153" s="28" t="s">
        <v>169</v>
      </c>
      <c r="C153" s="51">
        <v>226</v>
      </c>
      <c r="D153" s="33">
        <f t="shared" si="32"/>
        <v>552000</v>
      </c>
      <c r="E153" s="33">
        <f t="shared" si="33"/>
        <v>501298.02</v>
      </c>
      <c r="F153" s="33"/>
      <c r="G153" s="38">
        <v>552000</v>
      </c>
      <c r="H153" s="80">
        <v>501298.02</v>
      </c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</row>
    <row r="154" spans="1:20" s="6" customFormat="1" ht="33" x14ac:dyDescent="0.25">
      <c r="A154" s="63" t="s">
        <v>168</v>
      </c>
      <c r="B154" s="28" t="s">
        <v>169</v>
      </c>
      <c r="C154" s="51">
        <v>310</v>
      </c>
      <c r="D154" s="33">
        <f t="shared" si="32"/>
        <v>540000</v>
      </c>
      <c r="E154" s="33">
        <f t="shared" si="33"/>
        <v>92701.98</v>
      </c>
      <c r="F154" s="33"/>
      <c r="G154" s="38">
        <f>480000+30000+30000</f>
        <v>540000</v>
      </c>
      <c r="H154" s="80">
        <v>92701.98</v>
      </c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</row>
    <row r="155" spans="1:20" s="6" customFormat="1" ht="16.5" hidden="1" x14ac:dyDescent="0.25">
      <c r="A155" s="63" t="s">
        <v>170</v>
      </c>
      <c r="B155" s="28" t="s">
        <v>171</v>
      </c>
      <c r="C155" s="51">
        <v>226</v>
      </c>
      <c r="D155" s="33">
        <f t="shared" si="32"/>
        <v>0</v>
      </c>
      <c r="E155" s="33">
        <f t="shared" si="33"/>
        <v>0</v>
      </c>
      <c r="F155" s="33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</row>
    <row r="156" spans="1:20" s="6" customFormat="1" ht="16.5" hidden="1" x14ac:dyDescent="0.25">
      <c r="A156" s="63" t="s">
        <v>170</v>
      </c>
      <c r="B156" s="28" t="s">
        <v>171</v>
      </c>
      <c r="C156" s="51">
        <v>310</v>
      </c>
      <c r="D156" s="33">
        <f t="shared" si="32"/>
        <v>0</v>
      </c>
      <c r="E156" s="33">
        <f t="shared" si="33"/>
        <v>0</v>
      </c>
      <c r="F156" s="33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</row>
    <row r="157" spans="1:20" s="6" customFormat="1" ht="16.5" hidden="1" x14ac:dyDescent="0.25">
      <c r="A157" s="63" t="s">
        <v>172</v>
      </c>
      <c r="B157" s="28" t="s">
        <v>173</v>
      </c>
      <c r="C157" s="51">
        <v>226</v>
      </c>
      <c r="D157" s="33">
        <f t="shared" si="32"/>
        <v>0</v>
      </c>
      <c r="E157" s="33">
        <f t="shared" si="33"/>
        <v>0</v>
      </c>
      <c r="F157" s="33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</row>
    <row r="158" spans="1:20" s="6" customFormat="1" ht="33" hidden="1" x14ac:dyDescent="0.25">
      <c r="A158" s="63" t="s">
        <v>172</v>
      </c>
      <c r="B158" s="28" t="s">
        <v>174</v>
      </c>
      <c r="C158" s="51">
        <v>310</v>
      </c>
      <c r="D158" s="33">
        <f t="shared" si="32"/>
        <v>0</v>
      </c>
      <c r="E158" s="33">
        <f t="shared" si="33"/>
        <v>0</v>
      </c>
      <c r="F158" s="33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</row>
    <row r="159" spans="1:20" s="6" customFormat="1" ht="16.5" hidden="1" x14ac:dyDescent="0.25">
      <c r="A159" s="63" t="s">
        <v>175</v>
      </c>
      <c r="B159" s="28" t="s">
        <v>176</v>
      </c>
      <c r="C159" s="51">
        <v>226</v>
      </c>
      <c r="D159" s="33">
        <f t="shared" si="32"/>
        <v>0</v>
      </c>
      <c r="E159" s="33">
        <f t="shared" si="33"/>
        <v>0</v>
      </c>
      <c r="F159" s="33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</row>
    <row r="160" spans="1:20" s="6" customFormat="1" ht="16.5" hidden="1" x14ac:dyDescent="0.25">
      <c r="A160" s="63" t="s">
        <v>177</v>
      </c>
      <c r="B160" s="28" t="s">
        <v>178</v>
      </c>
      <c r="C160" s="51">
        <v>310</v>
      </c>
      <c r="D160" s="33">
        <f t="shared" si="32"/>
        <v>0</v>
      </c>
      <c r="E160" s="33">
        <f t="shared" si="33"/>
        <v>0</v>
      </c>
      <c r="F160" s="33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</row>
    <row r="161" spans="1:20" s="6" customFormat="1" ht="33" hidden="1" x14ac:dyDescent="0.25">
      <c r="A161" s="63" t="s">
        <v>179</v>
      </c>
      <c r="B161" s="28" t="s">
        <v>180</v>
      </c>
      <c r="C161" s="51">
        <v>226</v>
      </c>
      <c r="D161" s="33">
        <f t="shared" si="32"/>
        <v>0</v>
      </c>
      <c r="E161" s="33">
        <f t="shared" si="33"/>
        <v>0</v>
      </c>
      <c r="F161" s="33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</row>
    <row r="162" spans="1:20" s="6" customFormat="1" ht="33" hidden="1" x14ac:dyDescent="0.25">
      <c r="A162" s="63" t="s">
        <v>181</v>
      </c>
      <c r="B162" s="28" t="s">
        <v>182</v>
      </c>
      <c r="C162" s="51">
        <v>226</v>
      </c>
      <c r="D162" s="33">
        <f t="shared" si="32"/>
        <v>0</v>
      </c>
      <c r="E162" s="33">
        <f t="shared" si="33"/>
        <v>0</v>
      </c>
      <c r="F162" s="33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</row>
    <row r="163" spans="1:20" s="6" customFormat="1" ht="16.5" hidden="1" x14ac:dyDescent="0.25">
      <c r="A163" s="63" t="s">
        <v>183</v>
      </c>
      <c r="B163" s="28" t="s">
        <v>184</v>
      </c>
      <c r="C163" s="51">
        <v>310</v>
      </c>
      <c r="D163" s="33">
        <f t="shared" si="32"/>
        <v>0</v>
      </c>
      <c r="E163" s="33">
        <f t="shared" si="33"/>
        <v>0</v>
      </c>
      <c r="F163" s="33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</row>
    <row r="164" spans="1:20" s="6" customFormat="1" ht="16.5" hidden="1" x14ac:dyDescent="0.25">
      <c r="A164" s="63" t="s">
        <v>185</v>
      </c>
      <c r="B164" s="28" t="s">
        <v>186</v>
      </c>
      <c r="C164" s="51">
        <v>310</v>
      </c>
      <c r="D164" s="33">
        <f t="shared" si="32"/>
        <v>0</v>
      </c>
      <c r="E164" s="33">
        <f t="shared" si="33"/>
        <v>0</v>
      </c>
      <c r="F164" s="33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</row>
    <row r="165" spans="1:20" s="20" customFormat="1" ht="34.5" hidden="1" x14ac:dyDescent="0.25">
      <c r="A165" s="59" t="s">
        <v>29</v>
      </c>
      <c r="B165" s="48" t="s">
        <v>44</v>
      </c>
      <c r="C165" s="54"/>
      <c r="D165" s="33">
        <f t="shared" si="32"/>
        <v>0</v>
      </c>
      <c r="E165" s="33">
        <f t="shared" si="33"/>
        <v>0</v>
      </c>
      <c r="F165" s="33"/>
      <c r="G165" s="25">
        <f t="shared" ref="G165:T165" si="34">SUM(G166)</f>
        <v>0</v>
      </c>
      <c r="H165" s="25"/>
      <c r="I165" s="25">
        <f t="shared" si="34"/>
        <v>0</v>
      </c>
      <c r="J165" s="25"/>
      <c r="K165" s="25">
        <f t="shared" si="34"/>
        <v>0</v>
      </c>
      <c r="L165" s="25"/>
      <c r="M165" s="25">
        <f t="shared" si="34"/>
        <v>0</v>
      </c>
      <c r="N165" s="25"/>
      <c r="O165" s="25">
        <f t="shared" si="34"/>
        <v>0</v>
      </c>
      <c r="P165" s="25"/>
      <c r="Q165" s="25"/>
      <c r="R165" s="25"/>
      <c r="S165" s="25">
        <f t="shared" si="34"/>
        <v>0</v>
      </c>
      <c r="T165" s="25">
        <f t="shared" si="34"/>
        <v>0</v>
      </c>
    </row>
    <row r="166" spans="1:20" s="22" customFormat="1" ht="33" hidden="1" x14ac:dyDescent="0.25">
      <c r="A166" s="52" t="s">
        <v>187</v>
      </c>
      <c r="B166" s="28" t="s">
        <v>188</v>
      </c>
      <c r="C166" s="55">
        <v>225</v>
      </c>
      <c r="D166" s="33">
        <f t="shared" si="32"/>
        <v>0</v>
      </c>
      <c r="E166" s="33">
        <f t="shared" si="33"/>
        <v>0</v>
      </c>
      <c r="F166" s="33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</row>
    <row r="167" spans="1:20" s="22" customFormat="1" ht="16.5" hidden="1" x14ac:dyDescent="0.25">
      <c r="A167" s="52"/>
      <c r="B167" s="28"/>
      <c r="C167" s="55"/>
      <c r="D167" s="33">
        <f t="shared" si="32"/>
        <v>0</v>
      </c>
      <c r="E167" s="33">
        <f t="shared" si="33"/>
        <v>0</v>
      </c>
      <c r="F167" s="33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</row>
    <row r="168" spans="1:20" s="20" customFormat="1" ht="51.75" x14ac:dyDescent="0.25">
      <c r="A168" s="53" t="s">
        <v>31</v>
      </c>
      <c r="B168" s="48" t="s">
        <v>189</v>
      </c>
      <c r="C168" s="54"/>
      <c r="D168" s="34">
        <f t="shared" si="32"/>
        <v>1680979</v>
      </c>
      <c r="E168" s="34">
        <f t="shared" si="33"/>
        <v>399979.2</v>
      </c>
      <c r="F168" s="34"/>
      <c r="G168" s="25">
        <f t="shared" ref="G168:S168" si="35">SUM(G169:G173)</f>
        <v>1680979</v>
      </c>
      <c r="H168" s="83">
        <f t="shared" ref="H168" si="36">SUM(H169:H173)</f>
        <v>399979.2</v>
      </c>
      <c r="I168" s="25">
        <f t="shared" si="35"/>
        <v>0</v>
      </c>
      <c r="J168" s="25"/>
      <c r="K168" s="25">
        <f t="shared" si="35"/>
        <v>0</v>
      </c>
      <c r="L168" s="25"/>
      <c r="M168" s="25">
        <f t="shared" si="35"/>
        <v>0</v>
      </c>
      <c r="N168" s="25"/>
      <c r="O168" s="25">
        <f t="shared" si="35"/>
        <v>0</v>
      </c>
      <c r="P168" s="25"/>
      <c r="Q168" s="25"/>
      <c r="R168" s="25"/>
      <c r="S168" s="25">
        <f t="shared" si="35"/>
        <v>0</v>
      </c>
      <c r="T168" s="25">
        <f t="shared" ref="T168" si="37">SUM(T169:T173)</f>
        <v>0</v>
      </c>
    </row>
    <row r="169" spans="1:20" s="22" customFormat="1" ht="33" hidden="1" x14ac:dyDescent="0.25">
      <c r="A169" s="52" t="s">
        <v>190</v>
      </c>
      <c r="B169" s="28" t="s">
        <v>191</v>
      </c>
      <c r="C169" s="55"/>
      <c r="D169" s="33">
        <f t="shared" si="32"/>
        <v>0</v>
      </c>
      <c r="E169" s="33">
        <f t="shared" si="33"/>
        <v>0</v>
      </c>
      <c r="F169" s="33"/>
      <c r="G169" s="21"/>
      <c r="H169" s="84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</row>
    <row r="170" spans="1:20" s="22" customFormat="1" ht="49.5" x14ac:dyDescent="0.25">
      <c r="A170" s="52" t="s">
        <v>192</v>
      </c>
      <c r="B170" s="28" t="s">
        <v>193</v>
      </c>
      <c r="C170" s="55">
        <v>226</v>
      </c>
      <c r="D170" s="33">
        <f t="shared" si="32"/>
        <v>743577</v>
      </c>
      <c r="E170" s="33">
        <f t="shared" si="33"/>
        <v>188577.2</v>
      </c>
      <c r="F170" s="33"/>
      <c r="G170" s="38">
        <v>743577</v>
      </c>
      <c r="H170" s="82">
        <v>188577.2</v>
      </c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</row>
    <row r="171" spans="1:20" s="22" customFormat="1" ht="49.5" x14ac:dyDescent="0.25">
      <c r="A171" s="52" t="s">
        <v>192</v>
      </c>
      <c r="B171" s="28" t="s">
        <v>193</v>
      </c>
      <c r="C171" s="55">
        <v>310</v>
      </c>
      <c r="D171" s="33">
        <f t="shared" si="32"/>
        <v>836630</v>
      </c>
      <c r="E171" s="33">
        <f t="shared" si="33"/>
        <v>187630</v>
      </c>
      <c r="F171" s="33"/>
      <c r="G171" s="38">
        <v>836630</v>
      </c>
      <c r="H171" s="82">
        <v>187630</v>
      </c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</row>
    <row r="172" spans="1:20" s="22" customFormat="1" ht="49.5" x14ac:dyDescent="0.25">
      <c r="A172" s="52" t="s">
        <v>192</v>
      </c>
      <c r="B172" s="28" t="s">
        <v>193</v>
      </c>
      <c r="C172" s="55">
        <v>340</v>
      </c>
      <c r="D172" s="33">
        <f t="shared" si="32"/>
        <v>100772</v>
      </c>
      <c r="E172" s="33">
        <f t="shared" si="33"/>
        <v>23772</v>
      </c>
      <c r="F172" s="33"/>
      <c r="G172" s="38">
        <v>100772</v>
      </c>
      <c r="H172" s="82">
        <v>23772</v>
      </c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</row>
    <row r="173" spans="1:20" s="22" customFormat="1" ht="33" hidden="1" x14ac:dyDescent="0.25">
      <c r="A173" s="52" t="s">
        <v>194</v>
      </c>
      <c r="B173" s="28" t="s">
        <v>195</v>
      </c>
      <c r="C173" s="55"/>
      <c r="D173" s="33">
        <f t="shared" si="32"/>
        <v>0</v>
      </c>
      <c r="E173" s="33">
        <f t="shared" si="33"/>
        <v>0</v>
      </c>
      <c r="F173" s="33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</row>
    <row r="174" spans="1:20" s="20" customFormat="1" ht="34.5" hidden="1" x14ac:dyDescent="0.25">
      <c r="A174" s="53" t="s">
        <v>33</v>
      </c>
      <c r="B174" s="48" t="s">
        <v>34</v>
      </c>
      <c r="C174" s="54"/>
      <c r="D174" s="33">
        <f t="shared" si="32"/>
        <v>0</v>
      </c>
      <c r="E174" s="33">
        <f t="shared" si="33"/>
        <v>0</v>
      </c>
      <c r="F174" s="33"/>
      <c r="G174" s="25">
        <f t="shared" ref="G174:S174" si="38">SUM(G175:G179)</f>
        <v>0</v>
      </c>
      <c r="H174" s="25"/>
      <c r="I174" s="25">
        <f t="shared" si="38"/>
        <v>0</v>
      </c>
      <c r="J174" s="25"/>
      <c r="K174" s="25">
        <f t="shared" si="38"/>
        <v>0</v>
      </c>
      <c r="L174" s="25"/>
      <c r="M174" s="25">
        <f t="shared" si="38"/>
        <v>0</v>
      </c>
      <c r="N174" s="25"/>
      <c r="O174" s="25">
        <f t="shared" si="38"/>
        <v>0</v>
      </c>
      <c r="P174" s="25"/>
      <c r="Q174" s="25"/>
      <c r="R174" s="25"/>
      <c r="S174" s="25">
        <f t="shared" si="38"/>
        <v>0</v>
      </c>
      <c r="T174" s="25">
        <f t="shared" ref="T174" si="39">SUM(T175:T179)</f>
        <v>0</v>
      </c>
    </row>
    <row r="175" spans="1:20" s="22" customFormat="1" ht="16.5" hidden="1" x14ac:dyDescent="0.25">
      <c r="A175" s="52" t="s">
        <v>196</v>
      </c>
      <c r="B175" s="28" t="s">
        <v>197</v>
      </c>
      <c r="C175" s="55"/>
      <c r="D175" s="33">
        <f t="shared" si="32"/>
        <v>0</v>
      </c>
      <c r="E175" s="33">
        <f t="shared" si="33"/>
        <v>0</v>
      </c>
      <c r="F175" s="33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</row>
    <row r="176" spans="1:20" s="22" customFormat="1" ht="16.5" hidden="1" x14ac:dyDescent="0.25">
      <c r="A176" s="52"/>
      <c r="B176" s="28" t="s">
        <v>47</v>
      </c>
      <c r="C176" s="55">
        <v>211</v>
      </c>
      <c r="D176" s="33">
        <f t="shared" si="32"/>
        <v>0</v>
      </c>
      <c r="E176" s="33">
        <f t="shared" si="33"/>
        <v>0</v>
      </c>
      <c r="F176" s="33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</row>
    <row r="177" spans="1:20" s="22" customFormat="1" ht="16.5" hidden="1" x14ac:dyDescent="0.25">
      <c r="A177" s="52"/>
      <c r="B177" s="28" t="s">
        <v>198</v>
      </c>
      <c r="C177" s="55">
        <v>213</v>
      </c>
      <c r="D177" s="33">
        <f t="shared" si="32"/>
        <v>0</v>
      </c>
      <c r="E177" s="33">
        <f t="shared" si="33"/>
        <v>0</v>
      </c>
      <c r="F177" s="33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</row>
    <row r="178" spans="1:20" s="22" customFormat="1" ht="16.5" hidden="1" x14ac:dyDescent="0.25">
      <c r="A178" s="52" t="s">
        <v>199</v>
      </c>
      <c r="B178" s="28" t="s">
        <v>200</v>
      </c>
      <c r="C178" s="55">
        <v>310</v>
      </c>
      <c r="D178" s="33">
        <f t="shared" si="32"/>
        <v>0</v>
      </c>
      <c r="E178" s="33">
        <f t="shared" si="33"/>
        <v>0</v>
      </c>
      <c r="F178" s="33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</row>
    <row r="179" spans="1:20" s="22" customFormat="1" ht="16.5" hidden="1" x14ac:dyDescent="0.25">
      <c r="A179" s="52" t="s">
        <v>201</v>
      </c>
      <c r="B179" s="28" t="s">
        <v>202</v>
      </c>
      <c r="C179" s="55">
        <v>340</v>
      </c>
      <c r="D179" s="33">
        <f t="shared" si="32"/>
        <v>0</v>
      </c>
      <c r="E179" s="33">
        <f t="shared" si="33"/>
        <v>0</v>
      </c>
      <c r="F179" s="33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</row>
    <row r="180" spans="1:20" s="18" customFormat="1" ht="51.75" hidden="1" x14ac:dyDescent="0.25">
      <c r="A180" s="47" t="s">
        <v>35</v>
      </c>
      <c r="B180" s="62" t="s">
        <v>36</v>
      </c>
      <c r="C180" s="49"/>
      <c r="D180" s="33">
        <f t="shared" si="32"/>
        <v>0</v>
      </c>
      <c r="E180" s="33">
        <f t="shared" si="33"/>
        <v>0</v>
      </c>
      <c r="F180" s="33"/>
      <c r="G180" s="34">
        <f t="shared" ref="G180:S180" si="40">SUM(G181:G185)</f>
        <v>0</v>
      </c>
      <c r="H180" s="34"/>
      <c r="I180" s="34">
        <f t="shared" si="40"/>
        <v>0</v>
      </c>
      <c r="J180" s="34"/>
      <c r="K180" s="34">
        <f t="shared" si="40"/>
        <v>0</v>
      </c>
      <c r="L180" s="34"/>
      <c r="M180" s="34">
        <f t="shared" si="40"/>
        <v>0</v>
      </c>
      <c r="N180" s="34"/>
      <c r="O180" s="34">
        <f t="shared" si="40"/>
        <v>0</v>
      </c>
      <c r="P180" s="34"/>
      <c r="Q180" s="34"/>
      <c r="R180" s="34"/>
      <c r="S180" s="34">
        <f t="shared" si="40"/>
        <v>0</v>
      </c>
      <c r="T180" s="34">
        <f t="shared" ref="T180" si="41">SUM(T181:T185)</f>
        <v>0</v>
      </c>
    </row>
    <row r="181" spans="1:20" s="6" customFormat="1" ht="33" hidden="1" x14ac:dyDescent="0.25">
      <c r="A181" s="73" t="s">
        <v>203</v>
      </c>
      <c r="B181" s="64" t="s">
        <v>204</v>
      </c>
      <c r="C181" s="69">
        <v>222</v>
      </c>
      <c r="D181" s="33">
        <f t="shared" si="32"/>
        <v>0</v>
      </c>
      <c r="E181" s="33">
        <f t="shared" si="33"/>
        <v>0</v>
      </c>
      <c r="F181" s="33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</row>
    <row r="182" spans="1:20" s="6" customFormat="1" ht="33" hidden="1" x14ac:dyDescent="0.25">
      <c r="A182" s="73" t="s">
        <v>203</v>
      </c>
      <c r="B182" s="64" t="s">
        <v>204</v>
      </c>
      <c r="C182" s="69">
        <v>226</v>
      </c>
      <c r="D182" s="33">
        <f t="shared" si="32"/>
        <v>0</v>
      </c>
      <c r="E182" s="33">
        <f t="shared" si="33"/>
        <v>0</v>
      </c>
      <c r="F182" s="33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</row>
    <row r="183" spans="1:20" s="6" customFormat="1" ht="33" hidden="1" x14ac:dyDescent="0.25">
      <c r="A183" s="73" t="s">
        <v>203</v>
      </c>
      <c r="B183" s="64" t="s">
        <v>204</v>
      </c>
      <c r="C183" s="69">
        <v>290</v>
      </c>
      <c r="D183" s="33">
        <f t="shared" si="32"/>
        <v>0</v>
      </c>
      <c r="E183" s="33">
        <f t="shared" si="33"/>
        <v>0</v>
      </c>
      <c r="F183" s="33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</row>
    <row r="184" spans="1:20" s="6" customFormat="1" ht="33" hidden="1" x14ac:dyDescent="0.25">
      <c r="A184" s="73" t="s">
        <v>203</v>
      </c>
      <c r="B184" s="64" t="s">
        <v>204</v>
      </c>
      <c r="C184" s="69">
        <v>310</v>
      </c>
      <c r="D184" s="33">
        <f t="shared" si="32"/>
        <v>0</v>
      </c>
      <c r="E184" s="33">
        <f t="shared" si="33"/>
        <v>0</v>
      </c>
      <c r="F184" s="33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</row>
    <row r="185" spans="1:20" s="6" customFormat="1" ht="33" hidden="1" x14ac:dyDescent="0.25">
      <c r="A185" s="73" t="s">
        <v>203</v>
      </c>
      <c r="B185" s="64" t="s">
        <v>204</v>
      </c>
      <c r="C185" s="69">
        <v>340</v>
      </c>
      <c r="D185" s="33">
        <f t="shared" si="32"/>
        <v>0</v>
      </c>
      <c r="E185" s="33">
        <f t="shared" si="33"/>
        <v>0</v>
      </c>
      <c r="F185" s="33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</row>
    <row r="186" spans="1:20" s="32" customFormat="1" ht="17.25" x14ac:dyDescent="0.25">
      <c r="A186" s="74" t="s">
        <v>205</v>
      </c>
      <c r="B186" s="62" t="s">
        <v>37</v>
      </c>
      <c r="C186" s="49"/>
      <c r="D186" s="34">
        <f t="shared" si="32"/>
        <v>0</v>
      </c>
      <c r="E186" s="34">
        <f t="shared" si="33"/>
        <v>0</v>
      </c>
      <c r="F186" s="34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</row>
    <row r="187" spans="1:20" s="18" customFormat="1" ht="17.25" x14ac:dyDescent="0.25">
      <c r="A187" s="61" t="s">
        <v>206</v>
      </c>
      <c r="B187" s="62" t="s">
        <v>38</v>
      </c>
      <c r="C187" s="49"/>
      <c r="D187" s="34">
        <f t="shared" si="32"/>
        <v>37909128.980000004</v>
      </c>
      <c r="E187" s="34">
        <f t="shared" si="33"/>
        <v>16595058.489999998</v>
      </c>
      <c r="F187" s="34"/>
      <c r="G187" s="34">
        <f>SUM(G188+G189+G190+G191+G192+G193+G197+G198+G199+G200+G201+G202+G203+G205)</f>
        <v>0</v>
      </c>
      <c r="H187" s="34"/>
      <c r="I187" s="34">
        <f>SUM(I188+I189+I190+I191+I192+I193+I197+I198+I199+I200+I201+I202+I203+I205)</f>
        <v>0</v>
      </c>
      <c r="J187" s="34"/>
      <c r="K187" s="34">
        <f>SUM(K188+K189+K190+K191+K192+K193+K197+K198+K199+K200+K201+K202+K203+K205)</f>
        <v>0</v>
      </c>
      <c r="L187" s="34"/>
      <c r="M187" s="34">
        <f>SUM(M188+M189+M190+M191+M192+M193+M197+M198+M199+M200+M201+M202+M203+M205)</f>
        <v>0</v>
      </c>
      <c r="N187" s="34"/>
      <c r="O187" s="34">
        <f>SUM(O188+O189+O190+O191+O192+O193+O197+O198+O199+O200+O201+O202+O203+O205)</f>
        <v>0</v>
      </c>
      <c r="P187" s="34"/>
      <c r="Q187" s="34"/>
      <c r="R187" s="34"/>
      <c r="S187" s="34">
        <f>SUM(S188+S189+S190+S191+S192+S193+S197+S198+S199+S200+S201+S202+S203+S205)+S204</f>
        <v>37909128.980000004</v>
      </c>
      <c r="T187" s="34">
        <f>SUM(T188+T189+T190+T191+T192+T193+T197+T198+T199+T200+T201+T202+T203+T205)+T204</f>
        <v>16595058.489999998</v>
      </c>
    </row>
    <row r="188" spans="1:20" s="6" customFormat="1" ht="16.5" x14ac:dyDescent="0.25">
      <c r="A188" s="63" t="s">
        <v>207</v>
      </c>
      <c r="B188" s="28" t="s">
        <v>47</v>
      </c>
      <c r="C188" s="51">
        <v>211</v>
      </c>
      <c r="D188" s="33">
        <f t="shared" si="32"/>
        <v>0</v>
      </c>
      <c r="E188" s="33">
        <f t="shared" si="33"/>
        <v>0</v>
      </c>
      <c r="F188" s="33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33"/>
      <c r="T188" s="85"/>
    </row>
    <row r="189" spans="1:20" s="6" customFormat="1" ht="16.5" x14ac:dyDescent="0.25">
      <c r="A189" s="63" t="s">
        <v>208</v>
      </c>
      <c r="B189" s="28" t="s">
        <v>49</v>
      </c>
      <c r="C189" s="51">
        <v>212</v>
      </c>
      <c r="D189" s="33">
        <f t="shared" si="32"/>
        <v>0</v>
      </c>
      <c r="E189" s="33">
        <f t="shared" si="33"/>
        <v>0</v>
      </c>
      <c r="F189" s="33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33"/>
      <c r="T189" s="85"/>
    </row>
    <row r="190" spans="1:20" s="6" customFormat="1" ht="16.5" x14ac:dyDescent="0.25">
      <c r="A190" s="63" t="s">
        <v>209</v>
      </c>
      <c r="B190" s="28" t="s">
        <v>51</v>
      </c>
      <c r="C190" s="51">
        <v>213</v>
      </c>
      <c r="D190" s="33">
        <f t="shared" si="32"/>
        <v>0</v>
      </c>
      <c r="E190" s="33">
        <f t="shared" si="33"/>
        <v>0</v>
      </c>
      <c r="F190" s="33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33"/>
      <c r="T190" s="85"/>
    </row>
    <row r="191" spans="1:20" s="6" customFormat="1" ht="16.5" x14ac:dyDescent="0.25">
      <c r="A191" s="63" t="s">
        <v>210</v>
      </c>
      <c r="B191" s="28" t="s">
        <v>53</v>
      </c>
      <c r="C191" s="51">
        <v>221</v>
      </c>
      <c r="D191" s="33">
        <f t="shared" si="32"/>
        <v>233500</v>
      </c>
      <c r="E191" s="33">
        <f t="shared" si="33"/>
        <v>23409.759999999998</v>
      </c>
      <c r="F191" s="33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33">
        <v>233500</v>
      </c>
      <c r="T191" s="85">
        <v>23409.759999999998</v>
      </c>
    </row>
    <row r="192" spans="1:20" s="6" customFormat="1" ht="16.5" x14ac:dyDescent="0.25">
      <c r="A192" s="63" t="s">
        <v>211</v>
      </c>
      <c r="B192" s="28" t="s">
        <v>55</v>
      </c>
      <c r="C192" s="51">
        <v>222</v>
      </c>
      <c r="D192" s="33">
        <f t="shared" si="32"/>
        <v>218500</v>
      </c>
      <c r="E192" s="33">
        <f t="shared" si="33"/>
        <v>600</v>
      </c>
      <c r="F192" s="33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33">
        <v>218500</v>
      </c>
      <c r="T192" s="85">
        <v>600</v>
      </c>
    </row>
    <row r="193" spans="1:20" s="6" customFormat="1" ht="16.5" x14ac:dyDescent="0.25">
      <c r="A193" s="63" t="s">
        <v>212</v>
      </c>
      <c r="B193" s="28" t="s">
        <v>57</v>
      </c>
      <c r="C193" s="51">
        <v>223</v>
      </c>
      <c r="D193" s="33">
        <f t="shared" si="32"/>
        <v>738160</v>
      </c>
      <c r="E193" s="33">
        <f t="shared" si="33"/>
        <v>2636</v>
      </c>
      <c r="F193" s="33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33">
        <f>SUM(S194:S196)</f>
        <v>738160</v>
      </c>
      <c r="T193" s="85">
        <f>SUM(T194:T196)</f>
        <v>2636</v>
      </c>
    </row>
    <row r="194" spans="1:20" s="6" customFormat="1" ht="16.5" x14ac:dyDescent="0.25">
      <c r="A194" s="63"/>
      <c r="B194" s="58" t="s">
        <v>213</v>
      </c>
      <c r="C194" s="51">
        <v>223</v>
      </c>
      <c r="D194" s="33">
        <f t="shared" si="32"/>
        <v>0</v>
      </c>
      <c r="E194" s="33">
        <f t="shared" si="33"/>
        <v>0</v>
      </c>
      <c r="F194" s="33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33">
        <v>0</v>
      </c>
      <c r="T194" s="85"/>
    </row>
    <row r="195" spans="1:20" s="6" customFormat="1" ht="16.5" x14ac:dyDescent="0.25">
      <c r="A195" s="63"/>
      <c r="B195" s="58" t="s">
        <v>214</v>
      </c>
      <c r="C195" s="51">
        <v>223</v>
      </c>
      <c r="D195" s="33">
        <f t="shared" si="32"/>
        <v>369080</v>
      </c>
      <c r="E195" s="33">
        <f t="shared" si="33"/>
        <v>1243.33</v>
      </c>
      <c r="F195" s="33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33">
        <v>369080</v>
      </c>
      <c r="T195" s="85">
        <v>1243.33</v>
      </c>
    </row>
    <row r="196" spans="1:20" s="6" customFormat="1" ht="16.5" x14ac:dyDescent="0.25">
      <c r="A196" s="63"/>
      <c r="B196" s="58" t="s">
        <v>215</v>
      </c>
      <c r="C196" s="51">
        <v>223</v>
      </c>
      <c r="D196" s="33">
        <f t="shared" si="32"/>
        <v>369080</v>
      </c>
      <c r="E196" s="33">
        <f t="shared" si="33"/>
        <v>1392.67</v>
      </c>
      <c r="F196" s="33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33">
        <v>369080</v>
      </c>
      <c r="T196" s="85">
        <v>1392.67</v>
      </c>
    </row>
    <row r="197" spans="1:20" s="6" customFormat="1" ht="16.5" x14ac:dyDescent="0.25">
      <c r="A197" s="63" t="s">
        <v>216</v>
      </c>
      <c r="B197" s="58" t="s">
        <v>217</v>
      </c>
      <c r="C197" s="51">
        <v>224</v>
      </c>
      <c r="D197" s="33">
        <f t="shared" si="32"/>
        <v>0</v>
      </c>
      <c r="E197" s="33">
        <f t="shared" si="33"/>
        <v>0</v>
      </c>
      <c r="F197" s="33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33"/>
      <c r="T197" s="85"/>
    </row>
    <row r="198" spans="1:20" s="6" customFormat="1" ht="16.5" x14ac:dyDescent="0.25">
      <c r="A198" s="63" t="s">
        <v>218</v>
      </c>
      <c r="B198" s="58" t="s">
        <v>219</v>
      </c>
      <c r="C198" s="51">
        <v>225</v>
      </c>
      <c r="D198" s="33">
        <f t="shared" si="32"/>
        <v>0</v>
      </c>
      <c r="E198" s="33">
        <f t="shared" si="33"/>
        <v>0</v>
      </c>
      <c r="F198" s="33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33"/>
      <c r="T198" s="85"/>
    </row>
    <row r="199" spans="1:20" s="6" customFormat="1" ht="16.5" x14ac:dyDescent="0.25">
      <c r="A199" s="63" t="s">
        <v>220</v>
      </c>
      <c r="B199" s="58" t="s">
        <v>221</v>
      </c>
      <c r="C199" s="51">
        <v>225</v>
      </c>
      <c r="D199" s="33">
        <f t="shared" si="32"/>
        <v>953700</v>
      </c>
      <c r="E199" s="33">
        <f t="shared" si="33"/>
        <v>1310702.0900000001</v>
      </c>
      <c r="F199" s="33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33">
        <v>953700</v>
      </c>
      <c r="T199" s="85">
        <v>1310702.0900000001</v>
      </c>
    </row>
    <row r="200" spans="1:20" s="6" customFormat="1" ht="16.5" x14ac:dyDescent="0.25">
      <c r="A200" s="63" t="s">
        <v>222</v>
      </c>
      <c r="B200" s="58" t="s">
        <v>223</v>
      </c>
      <c r="C200" s="51">
        <v>226</v>
      </c>
      <c r="D200" s="33">
        <f t="shared" si="32"/>
        <v>23921742</v>
      </c>
      <c r="E200" s="33">
        <f t="shared" si="33"/>
        <v>12444001.84</v>
      </c>
      <c r="F200" s="33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33">
        <v>23921742</v>
      </c>
      <c r="T200" s="85">
        <v>12444001.84</v>
      </c>
    </row>
    <row r="201" spans="1:20" s="6" customFormat="1" ht="16.5" x14ac:dyDescent="0.25">
      <c r="A201" s="63" t="s">
        <v>224</v>
      </c>
      <c r="B201" s="58" t="s">
        <v>225</v>
      </c>
      <c r="C201" s="51">
        <v>226</v>
      </c>
      <c r="D201" s="33">
        <f t="shared" si="32"/>
        <v>0</v>
      </c>
      <c r="E201" s="33">
        <f t="shared" si="33"/>
        <v>0</v>
      </c>
      <c r="F201" s="33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33"/>
      <c r="T201" s="85"/>
    </row>
    <row r="202" spans="1:20" s="6" customFormat="1" ht="16.5" x14ac:dyDescent="0.25">
      <c r="A202" s="63" t="s">
        <v>226</v>
      </c>
      <c r="B202" s="28" t="s">
        <v>68</v>
      </c>
      <c r="C202" s="51">
        <v>290</v>
      </c>
      <c r="D202" s="33">
        <f t="shared" si="32"/>
        <v>484000</v>
      </c>
      <c r="E202" s="33">
        <f t="shared" si="33"/>
        <v>128181.33</v>
      </c>
      <c r="F202" s="33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33">
        <v>484000</v>
      </c>
      <c r="T202" s="85">
        <v>128181.33</v>
      </c>
    </row>
    <row r="203" spans="1:20" s="6" customFormat="1" ht="16.5" x14ac:dyDescent="0.25">
      <c r="A203" s="63" t="s">
        <v>227</v>
      </c>
      <c r="B203" s="58" t="s">
        <v>72</v>
      </c>
      <c r="C203" s="51">
        <v>310</v>
      </c>
      <c r="D203" s="33">
        <f t="shared" si="32"/>
        <v>1963534.55</v>
      </c>
      <c r="E203" s="33">
        <f t="shared" si="33"/>
        <v>1263144.54</v>
      </c>
      <c r="F203" s="33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33">
        <v>1963534.55</v>
      </c>
      <c r="T203" s="85">
        <v>1263144.54</v>
      </c>
    </row>
    <row r="204" spans="1:20" s="6" customFormat="1" ht="16.5" x14ac:dyDescent="0.25">
      <c r="A204" s="63" t="s">
        <v>228</v>
      </c>
      <c r="B204" s="58" t="s">
        <v>243</v>
      </c>
      <c r="C204" s="51">
        <v>340</v>
      </c>
      <c r="D204" s="33">
        <f t="shared" si="32"/>
        <v>9395992.4299999997</v>
      </c>
      <c r="E204" s="33">
        <f t="shared" si="33"/>
        <v>1422382.93</v>
      </c>
      <c r="F204" s="33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33">
        <v>9395992.4299999997</v>
      </c>
      <c r="T204" s="85">
        <v>1422382.93</v>
      </c>
    </row>
    <row r="205" spans="1:20" s="6" customFormat="1" ht="16.5" x14ac:dyDescent="0.25">
      <c r="A205" s="63" t="s">
        <v>286</v>
      </c>
      <c r="B205" s="58" t="s">
        <v>225</v>
      </c>
      <c r="C205" s="51">
        <v>340</v>
      </c>
      <c r="D205" s="33">
        <f t="shared" si="32"/>
        <v>0</v>
      </c>
      <c r="E205" s="33">
        <f t="shared" si="33"/>
        <v>0</v>
      </c>
      <c r="F205" s="33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33"/>
      <c r="T205" s="85"/>
    </row>
    <row r="206" spans="1:20" s="18" customFormat="1" ht="17.25" x14ac:dyDescent="0.25">
      <c r="A206" s="61" t="s">
        <v>229</v>
      </c>
      <c r="B206" s="62" t="s">
        <v>39</v>
      </c>
      <c r="C206" s="49"/>
      <c r="D206" s="34">
        <f t="shared" si="32"/>
        <v>5455203.6200000001</v>
      </c>
      <c r="E206" s="34">
        <f t="shared" si="33"/>
        <v>1115818.8500000001</v>
      </c>
      <c r="F206" s="34"/>
      <c r="G206" s="34">
        <f t="shared" ref="G206:S206" si="42">SUM(G207+G208+G209+G210+G211+G212+G216+G217+G218+G219+G220+G221+G222)</f>
        <v>0</v>
      </c>
      <c r="H206" s="34"/>
      <c r="I206" s="34">
        <f t="shared" si="42"/>
        <v>0</v>
      </c>
      <c r="J206" s="34"/>
      <c r="K206" s="34">
        <f t="shared" si="42"/>
        <v>0</v>
      </c>
      <c r="L206" s="34"/>
      <c r="M206" s="34">
        <f t="shared" si="42"/>
        <v>0</v>
      </c>
      <c r="N206" s="34"/>
      <c r="O206" s="34">
        <f t="shared" si="42"/>
        <v>0</v>
      </c>
      <c r="P206" s="34"/>
      <c r="Q206" s="34"/>
      <c r="R206" s="34"/>
      <c r="S206" s="34">
        <f t="shared" si="42"/>
        <v>5455203.6200000001</v>
      </c>
      <c r="T206" s="34">
        <f t="shared" ref="T206" si="43">SUM(T207+T208+T209+T210+T211+T212+T216+T217+T218+T219+T220+T221+T222)</f>
        <v>1115818.8500000001</v>
      </c>
    </row>
    <row r="207" spans="1:20" s="6" customFormat="1" ht="16.5" x14ac:dyDescent="0.25">
      <c r="A207" s="63" t="s">
        <v>230</v>
      </c>
      <c r="B207" s="28" t="s">
        <v>47</v>
      </c>
      <c r="C207" s="51">
        <v>211</v>
      </c>
      <c r="D207" s="33">
        <f t="shared" si="32"/>
        <v>0</v>
      </c>
      <c r="E207" s="33">
        <f t="shared" si="33"/>
        <v>0</v>
      </c>
      <c r="F207" s="33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33"/>
      <c r="T207" s="85"/>
    </row>
    <row r="208" spans="1:20" s="6" customFormat="1" ht="16.5" x14ac:dyDescent="0.25">
      <c r="A208" s="63" t="s">
        <v>231</v>
      </c>
      <c r="B208" s="28" t="s">
        <v>49</v>
      </c>
      <c r="C208" s="51">
        <v>212</v>
      </c>
      <c r="D208" s="33">
        <f t="shared" si="32"/>
        <v>0</v>
      </c>
      <c r="E208" s="33">
        <f t="shared" si="33"/>
        <v>0</v>
      </c>
      <c r="F208" s="33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33"/>
      <c r="T208" s="85"/>
    </row>
    <row r="209" spans="1:20" s="6" customFormat="1" ht="16.5" x14ac:dyDescent="0.25">
      <c r="A209" s="63" t="s">
        <v>232</v>
      </c>
      <c r="B209" s="28" t="s">
        <v>51</v>
      </c>
      <c r="C209" s="51">
        <v>213</v>
      </c>
      <c r="D209" s="33">
        <f t="shared" si="32"/>
        <v>0</v>
      </c>
      <c r="E209" s="33">
        <f t="shared" si="33"/>
        <v>0</v>
      </c>
      <c r="F209" s="33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33"/>
      <c r="T209" s="85"/>
    </row>
    <row r="210" spans="1:20" s="6" customFormat="1" ht="16.5" x14ac:dyDescent="0.25">
      <c r="A210" s="63" t="s">
        <v>233</v>
      </c>
      <c r="B210" s="28" t="s">
        <v>53</v>
      </c>
      <c r="C210" s="51">
        <v>221</v>
      </c>
      <c r="D210" s="33">
        <f t="shared" si="32"/>
        <v>0</v>
      </c>
      <c r="E210" s="33">
        <f t="shared" si="33"/>
        <v>8970.9</v>
      </c>
      <c r="F210" s="33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33"/>
      <c r="T210" s="85">
        <v>8970.9</v>
      </c>
    </row>
    <row r="211" spans="1:20" s="6" customFormat="1" ht="16.5" x14ac:dyDescent="0.25">
      <c r="A211" s="63" t="s">
        <v>234</v>
      </c>
      <c r="B211" s="28" t="s">
        <v>55</v>
      </c>
      <c r="C211" s="51">
        <v>222</v>
      </c>
      <c r="D211" s="33">
        <f t="shared" si="32"/>
        <v>0</v>
      </c>
      <c r="E211" s="33">
        <f t="shared" si="33"/>
        <v>0</v>
      </c>
      <c r="F211" s="33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33"/>
      <c r="T211" s="85"/>
    </row>
    <row r="212" spans="1:20" s="6" customFormat="1" ht="16.5" x14ac:dyDescent="0.25">
      <c r="A212" s="63" t="s">
        <v>235</v>
      </c>
      <c r="B212" s="28" t="s">
        <v>57</v>
      </c>
      <c r="C212" s="51">
        <v>223</v>
      </c>
      <c r="D212" s="33">
        <f t="shared" si="32"/>
        <v>0</v>
      </c>
      <c r="E212" s="33">
        <f t="shared" si="33"/>
        <v>0</v>
      </c>
      <c r="F212" s="33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33"/>
      <c r="T212" s="85"/>
    </row>
    <row r="213" spans="1:20" s="6" customFormat="1" ht="16.5" x14ac:dyDescent="0.25">
      <c r="A213" s="63"/>
      <c r="B213" s="58" t="s">
        <v>213</v>
      </c>
      <c r="C213" s="51">
        <v>223</v>
      </c>
      <c r="D213" s="33">
        <f t="shared" si="32"/>
        <v>0</v>
      </c>
      <c r="E213" s="33">
        <f t="shared" si="33"/>
        <v>0</v>
      </c>
      <c r="F213" s="33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33"/>
      <c r="T213" s="85"/>
    </row>
    <row r="214" spans="1:20" s="6" customFormat="1" ht="16.5" x14ac:dyDescent="0.25">
      <c r="A214" s="63"/>
      <c r="B214" s="58" t="s">
        <v>214</v>
      </c>
      <c r="C214" s="51">
        <v>223</v>
      </c>
      <c r="D214" s="33">
        <f t="shared" si="32"/>
        <v>0</v>
      </c>
      <c r="E214" s="33">
        <f t="shared" si="33"/>
        <v>0</v>
      </c>
      <c r="F214" s="33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33"/>
      <c r="T214" s="85"/>
    </row>
    <row r="215" spans="1:20" s="6" customFormat="1" ht="16.5" x14ac:dyDescent="0.25">
      <c r="A215" s="63"/>
      <c r="B215" s="58" t="s">
        <v>215</v>
      </c>
      <c r="C215" s="51">
        <v>223</v>
      </c>
      <c r="D215" s="33">
        <f t="shared" si="32"/>
        <v>0</v>
      </c>
      <c r="E215" s="33">
        <f t="shared" si="33"/>
        <v>0</v>
      </c>
      <c r="F215" s="33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33"/>
      <c r="T215" s="85"/>
    </row>
    <row r="216" spans="1:20" s="6" customFormat="1" ht="16.5" x14ac:dyDescent="0.25">
      <c r="A216" s="63" t="s">
        <v>236</v>
      </c>
      <c r="B216" s="58" t="s">
        <v>217</v>
      </c>
      <c r="C216" s="51">
        <v>224</v>
      </c>
      <c r="D216" s="33">
        <f t="shared" ref="D216:D258" si="44">SUM(G216+I216+K216+M216+O216+Q216+S216)</f>
        <v>0</v>
      </c>
      <c r="E216" s="33">
        <f t="shared" ref="E216:E258" si="45">SUM(H216+J216+L216+N216+P216+R216+T216)</f>
        <v>0</v>
      </c>
      <c r="F216" s="33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33"/>
      <c r="T216" s="85"/>
    </row>
    <row r="217" spans="1:20" s="6" customFormat="1" ht="16.5" x14ac:dyDescent="0.25">
      <c r="A217" s="63" t="s">
        <v>237</v>
      </c>
      <c r="B217" s="58" t="s">
        <v>219</v>
      </c>
      <c r="C217" s="51">
        <v>225</v>
      </c>
      <c r="D217" s="33">
        <f t="shared" si="44"/>
        <v>0</v>
      </c>
      <c r="E217" s="33">
        <f t="shared" si="45"/>
        <v>0</v>
      </c>
      <c r="F217" s="33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33"/>
      <c r="T217" s="85"/>
    </row>
    <row r="218" spans="1:20" s="6" customFormat="1" ht="16.5" x14ac:dyDescent="0.25">
      <c r="A218" s="63" t="s">
        <v>238</v>
      </c>
      <c r="B218" s="28" t="s">
        <v>64</v>
      </c>
      <c r="C218" s="51">
        <v>225</v>
      </c>
      <c r="D218" s="33">
        <f t="shared" si="44"/>
        <v>1200000</v>
      </c>
      <c r="E218" s="33">
        <f t="shared" si="45"/>
        <v>421780.54</v>
      </c>
      <c r="F218" s="33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33">
        <v>1200000</v>
      </c>
      <c r="T218" s="85">
        <v>421780.54</v>
      </c>
    </row>
    <row r="219" spans="1:20" s="6" customFormat="1" ht="16.5" x14ac:dyDescent="0.25">
      <c r="A219" s="63" t="s">
        <v>239</v>
      </c>
      <c r="B219" s="28" t="s">
        <v>66</v>
      </c>
      <c r="C219" s="51">
        <v>226</v>
      </c>
      <c r="D219" s="33">
        <f t="shared" si="44"/>
        <v>960000</v>
      </c>
      <c r="E219" s="33">
        <f t="shared" si="45"/>
        <v>165489.10999999999</v>
      </c>
      <c r="F219" s="33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33">
        <v>960000</v>
      </c>
      <c r="T219" s="85">
        <v>165489.10999999999</v>
      </c>
    </row>
    <row r="220" spans="1:20" s="6" customFormat="1" ht="16.5" x14ac:dyDescent="0.25">
      <c r="A220" s="63" t="s">
        <v>240</v>
      </c>
      <c r="B220" s="28" t="s">
        <v>68</v>
      </c>
      <c r="C220" s="51">
        <v>290</v>
      </c>
      <c r="D220" s="33">
        <f t="shared" si="44"/>
        <v>850000</v>
      </c>
      <c r="E220" s="33">
        <f t="shared" si="45"/>
        <v>368219</v>
      </c>
      <c r="F220" s="33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33">
        <v>850000</v>
      </c>
      <c r="T220" s="85">
        <v>368219</v>
      </c>
    </row>
    <row r="221" spans="1:20" s="6" customFormat="1" ht="16.5" x14ac:dyDescent="0.25">
      <c r="A221" s="63" t="s">
        <v>241</v>
      </c>
      <c r="B221" s="58" t="s">
        <v>72</v>
      </c>
      <c r="C221" s="51">
        <v>310</v>
      </c>
      <c r="D221" s="33">
        <f t="shared" si="44"/>
        <v>1245203.6200000001</v>
      </c>
      <c r="E221" s="33">
        <f t="shared" si="45"/>
        <v>73927</v>
      </c>
      <c r="F221" s="33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33">
        <v>1245203.6200000001</v>
      </c>
      <c r="T221" s="85">
        <v>73927</v>
      </c>
    </row>
    <row r="222" spans="1:20" s="6" customFormat="1" ht="16.5" x14ac:dyDescent="0.25">
      <c r="A222" s="63" t="s">
        <v>242</v>
      </c>
      <c r="B222" s="58" t="s">
        <v>243</v>
      </c>
      <c r="C222" s="51">
        <v>340</v>
      </c>
      <c r="D222" s="33">
        <f t="shared" si="44"/>
        <v>1200000</v>
      </c>
      <c r="E222" s="33">
        <f t="shared" si="45"/>
        <v>77432.3</v>
      </c>
      <c r="F222" s="33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33">
        <v>1200000</v>
      </c>
      <c r="T222" s="85">
        <v>77432.3</v>
      </c>
    </row>
    <row r="223" spans="1:20" s="18" customFormat="1" ht="17.25" x14ac:dyDescent="0.25">
      <c r="A223" s="61" t="s">
        <v>244</v>
      </c>
      <c r="B223" s="62" t="s">
        <v>40</v>
      </c>
      <c r="C223" s="49"/>
      <c r="D223" s="34">
        <f t="shared" si="44"/>
        <v>453671343.93000001</v>
      </c>
      <c r="E223" s="34">
        <f t="shared" si="45"/>
        <v>138990286.61999997</v>
      </c>
      <c r="F223" s="34"/>
      <c r="G223" s="34">
        <f t="shared" ref="G223:S223" si="46">SUM(G224+G225+G226+G227+G228+G229+G233+G234+G235+G236+G237+G238+G239+G240)</f>
        <v>0</v>
      </c>
      <c r="H223" s="34"/>
      <c r="I223" s="34">
        <f t="shared" si="46"/>
        <v>0</v>
      </c>
      <c r="J223" s="34"/>
      <c r="K223" s="34">
        <f t="shared" si="46"/>
        <v>0</v>
      </c>
      <c r="L223" s="34"/>
      <c r="M223" s="34">
        <f t="shared" si="46"/>
        <v>0</v>
      </c>
      <c r="N223" s="34"/>
      <c r="O223" s="34">
        <f t="shared" si="46"/>
        <v>0</v>
      </c>
      <c r="P223" s="34"/>
      <c r="Q223" s="34"/>
      <c r="R223" s="34"/>
      <c r="S223" s="34">
        <f t="shared" si="46"/>
        <v>453671343.93000001</v>
      </c>
      <c r="T223" s="34">
        <f t="shared" ref="T223" si="47">SUM(T224+T225+T226+T227+T228+T229+T233+T234+T235+T236+T237+T238+T239+T240)</f>
        <v>138990286.61999997</v>
      </c>
    </row>
    <row r="224" spans="1:20" s="6" customFormat="1" ht="16.5" x14ac:dyDescent="0.25">
      <c r="A224" s="63" t="s">
        <v>245</v>
      </c>
      <c r="B224" s="28" t="s">
        <v>47</v>
      </c>
      <c r="C224" s="51">
        <v>211</v>
      </c>
      <c r="D224" s="33">
        <f t="shared" si="44"/>
        <v>0</v>
      </c>
      <c r="E224" s="33">
        <f t="shared" si="45"/>
        <v>0</v>
      </c>
      <c r="F224" s="33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86"/>
    </row>
    <row r="225" spans="1:20" s="6" customFormat="1" ht="16.5" x14ac:dyDescent="0.25">
      <c r="A225" s="63" t="s">
        <v>246</v>
      </c>
      <c r="B225" s="28" t="s">
        <v>49</v>
      </c>
      <c r="C225" s="51">
        <v>212</v>
      </c>
      <c r="D225" s="33">
        <f t="shared" si="44"/>
        <v>0</v>
      </c>
      <c r="E225" s="33">
        <f t="shared" si="45"/>
        <v>0</v>
      </c>
      <c r="F225" s="33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86"/>
    </row>
    <row r="226" spans="1:20" s="6" customFormat="1" ht="16.5" x14ac:dyDescent="0.25">
      <c r="A226" s="63" t="s">
        <v>247</v>
      </c>
      <c r="B226" s="28" t="s">
        <v>51</v>
      </c>
      <c r="C226" s="51">
        <v>213</v>
      </c>
      <c r="D226" s="33">
        <f t="shared" si="44"/>
        <v>0</v>
      </c>
      <c r="E226" s="33">
        <f t="shared" si="45"/>
        <v>0</v>
      </c>
      <c r="F226" s="33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86"/>
    </row>
    <row r="227" spans="1:20" s="6" customFormat="1" ht="16.5" x14ac:dyDescent="0.25">
      <c r="A227" s="63" t="s">
        <v>248</v>
      </c>
      <c r="B227" s="28" t="s">
        <v>53</v>
      </c>
      <c r="C227" s="51">
        <v>221</v>
      </c>
      <c r="D227" s="33">
        <f t="shared" si="44"/>
        <v>0</v>
      </c>
      <c r="E227" s="33">
        <f t="shared" si="45"/>
        <v>1316.41</v>
      </c>
      <c r="F227" s="33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85">
        <v>1316.41</v>
      </c>
    </row>
    <row r="228" spans="1:20" s="6" customFormat="1" ht="16.5" x14ac:dyDescent="0.25">
      <c r="A228" s="63" t="s">
        <v>249</v>
      </c>
      <c r="B228" s="28" t="s">
        <v>55</v>
      </c>
      <c r="C228" s="51">
        <v>222</v>
      </c>
      <c r="D228" s="33">
        <f t="shared" si="44"/>
        <v>0</v>
      </c>
      <c r="E228" s="33">
        <f t="shared" si="45"/>
        <v>500</v>
      </c>
      <c r="F228" s="33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85">
        <v>500</v>
      </c>
    </row>
    <row r="229" spans="1:20" s="6" customFormat="1" ht="16.5" x14ac:dyDescent="0.25">
      <c r="A229" s="63" t="s">
        <v>250</v>
      </c>
      <c r="B229" s="28" t="s">
        <v>57</v>
      </c>
      <c r="C229" s="51">
        <v>223</v>
      </c>
      <c r="D229" s="33">
        <f t="shared" si="44"/>
        <v>0</v>
      </c>
      <c r="E229" s="33">
        <f t="shared" si="45"/>
        <v>0</v>
      </c>
      <c r="F229" s="33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85"/>
    </row>
    <row r="230" spans="1:20" s="6" customFormat="1" ht="16.5" x14ac:dyDescent="0.25">
      <c r="A230" s="63"/>
      <c r="B230" s="58" t="s">
        <v>213</v>
      </c>
      <c r="C230" s="51">
        <v>223</v>
      </c>
      <c r="D230" s="33">
        <f t="shared" si="44"/>
        <v>0</v>
      </c>
      <c r="E230" s="33">
        <f t="shared" si="45"/>
        <v>0</v>
      </c>
      <c r="F230" s="33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85"/>
    </row>
    <row r="231" spans="1:20" s="6" customFormat="1" ht="16.5" x14ac:dyDescent="0.25">
      <c r="A231" s="63"/>
      <c r="B231" s="58" t="s">
        <v>214</v>
      </c>
      <c r="C231" s="51">
        <v>223</v>
      </c>
      <c r="D231" s="33">
        <f t="shared" si="44"/>
        <v>0</v>
      </c>
      <c r="E231" s="33">
        <f t="shared" si="45"/>
        <v>0</v>
      </c>
      <c r="F231" s="33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85"/>
    </row>
    <row r="232" spans="1:20" s="6" customFormat="1" ht="16.5" x14ac:dyDescent="0.25">
      <c r="A232" s="63"/>
      <c r="B232" s="58" t="s">
        <v>215</v>
      </c>
      <c r="C232" s="51">
        <v>223</v>
      </c>
      <c r="D232" s="33">
        <f t="shared" si="44"/>
        <v>0</v>
      </c>
      <c r="E232" s="33">
        <f t="shared" si="45"/>
        <v>0</v>
      </c>
      <c r="F232" s="33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85"/>
    </row>
    <row r="233" spans="1:20" s="6" customFormat="1" ht="16.5" x14ac:dyDescent="0.25">
      <c r="A233" s="63" t="s">
        <v>251</v>
      </c>
      <c r="B233" s="58" t="s">
        <v>217</v>
      </c>
      <c r="C233" s="51">
        <v>224</v>
      </c>
      <c r="D233" s="33">
        <f t="shared" si="44"/>
        <v>0</v>
      </c>
      <c r="E233" s="33">
        <f t="shared" si="45"/>
        <v>0</v>
      </c>
      <c r="F233" s="33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85"/>
    </row>
    <row r="234" spans="1:20" s="6" customFormat="1" ht="16.5" x14ac:dyDescent="0.25">
      <c r="A234" s="63" t="s">
        <v>252</v>
      </c>
      <c r="B234" s="58" t="s">
        <v>219</v>
      </c>
      <c r="C234" s="51">
        <v>225</v>
      </c>
      <c r="D234" s="33">
        <f t="shared" si="44"/>
        <v>0</v>
      </c>
      <c r="E234" s="33">
        <f t="shared" si="45"/>
        <v>0</v>
      </c>
      <c r="F234" s="33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85"/>
    </row>
    <row r="235" spans="1:20" s="6" customFormat="1" ht="16.5" x14ac:dyDescent="0.25">
      <c r="A235" s="63" t="s">
        <v>253</v>
      </c>
      <c r="B235" s="28" t="s">
        <v>64</v>
      </c>
      <c r="C235" s="51">
        <v>225</v>
      </c>
      <c r="D235" s="33">
        <f t="shared" si="44"/>
        <v>0</v>
      </c>
      <c r="E235" s="33">
        <f t="shared" si="45"/>
        <v>300973</v>
      </c>
      <c r="F235" s="33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85">
        <v>300973</v>
      </c>
    </row>
    <row r="236" spans="1:20" s="6" customFormat="1" ht="16.5" x14ac:dyDescent="0.25">
      <c r="A236" s="63" t="s">
        <v>254</v>
      </c>
      <c r="B236" s="28" t="s">
        <v>66</v>
      </c>
      <c r="C236" s="51">
        <v>226</v>
      </c>
      <c r="D236" s="33">
        <f t="shared" si="44"/>
        <v>0</v>
      </c>
      <c r="E236" s="33">
        <f t="shared" si="45"/>
        <v>198978</v>
      </c>
      <c r="F236" s="33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85">
        <v>198978</v>
      </c>
    </row>
    <row r="237" spans="1:20" s="6" customFormat="1" ht="16.5" x14ac:dyDescent="0.25">
      <c r="A237" s="63" t="s">
        <v>255</v>
      </c>
      <c r="B237" s="58" t="s">
        <v>225</v>
      </c>
      <c r="C237" s="51">
        <v>226</v>
      </c>
      <c r="D237" s="33">
        <f t="shared" si="44"/>
        <v>0</v>
      </c>
      <c r="E237" s="33">
        <f t="shared" si="45"/>
        <v>0</v>
      </c>
      <c r="F237" s="33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85"/>
    </row>
    <row r="238" spans="1:20" s="6" customFormat="1" ht="16.5" x14ac:dyDescent="0.25">
      <c r="A238" s="63" t="s">
        <v>256</v>
      </c>
      <c r="B238" s="28" t="s">
        <v>68</v>
      </c>
      <c r="C238" s="51">
        <v>290</v>
      </c>
      <c r="D238" s="33">
        <f t="shared" si="44"/>
        <v>0</v>
      </c>
      <c r="E238" s="33">
        <f t="shared" si="45"/>
        <v>316420</v>
      </c>
      <c r="F238" s="33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02">
        <v>316420</v>
      </c>
    </row>
    <row r="239" spans="1:20" s="6" customFormat="1" ht="16.5" x14ac:dyDescent="0.25">
      <c r="A239" s="63" t="s">
        <v>257</v>
      </c>
      <c r="B239" s="58" t="s">
        <v>72</v>
      </c>
      <c r="C239" s="51">
        <v>310</v>
      </c>
      <c r="D239" s="33">
        <f t="shared" si="44"/>
        <v>6575220.8099999996</v>
      </c>
      <c r="E239" s="33">
        <f t="shared" si="45"/>
        <v>3392162.01</v>
      </c>
      <c r="F239" s="33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33">
        <v>6575220.8099999996</v>
      </c>
      <c r="T239" s="102">
        <v>3392162.01</v>
      </c>
    </row>
    <row r="240" spans="1:20" s="6" customFormat="1" ht="16.5" x14ac:dyDescent="0.25">
      <c r="A240" s="63" t="s">
        <v>258</v>
      </c>
      <c r="B240" s="58" t="s">
        <v>243</v>
      </c>
      <c r="C240" s="51">
        <v>340</v>
      </c>
      <c r="D240" s="33">
        <f t="shared" si="44"/>
        <v>447096123.12</v>
      </c>
      <c r="E240" s="33">
        <f t="shared" si="45"/>
        <v>134779937.19999999</v>
      </c>
      <c r="F240" s="33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33">
        <v>447096123.12</v>
      </c>
      <c r="T240" s="102">
        <v>134779937.19999999</v>
      </c>
    </row>
    <row r="241" spans="1:20" s="18" customFormat="1" ht="17.25" x14ac:dyDescent="0.25">
      <c r="A241" s="61" t="s">
        <v>259</v>
      </c>
      <c r="B241" s="62" t="s">
        <v>41</v>
      </c>
      <c r="C241" s="49"/>
      <c r="D241" s="34">
        <f t="shared" si="44"/>
        <v>54178053.719999999</v>
      </c>
      <c r="E241" s="34">
        <f t="shared" si="45"/>
        <v>13613698.960000001</v>
      </c>
      <c r="F241" s="34"/>
      <c r="G241" s="34">
        <f t="shared" ref="G241:S241" si="48">SUM(G242+G243+G244+G245+G246+G247+G251+G252+G253+G254+G255+G256+G257+G258)</f>
        <v>0</v>
      </c>
      <c r="H241" s="34"/>
      <c r="I241" s="34">
        <f t="shared" si="48"/>
        <v>0</v>
      </c>
      <c r="J241" s="34"/>
      <c r="K241" s="34">
        <f t="shared" si="48"/>
        <v>0</v>
      </c>
      <c r="L241" s="34"/>
      <c r="M241" s="34">
        <f t="shared" si="48"/>
        <v>0</v>
      </c>
      <c r="N241" s="34"/>
      <c r="O241" s="34">
        <f t="shared" si="48"/>
        <v>0</v>
      </c>
      <c r="P241" s="34"/>
      <c r="Q241" s="34"/>
      <c r="R241" s="34"/>
      <c r="S241" s="34">
        <f t="shared" si="48"/>
        <v>54178053.719999999</v>
      </c>
      <c r="T241" s="34">
        <f t="shared" ref="T241" si="49">SUM(T242+T243+T244+T245+T246+T247+T251+T252+T253+T254+T255+T256+T257+T258)</f>
        <v>13613698.960000001</v>
      </c>
    </row>
    <row r="242" spans="1:20" s="6" customFormat="1" ht="16.5" x14ac:dyDescent="0.25">
      <c r="A242" s="63" t="s">
        <v>260</v>
      </c>
      <c r="B242" s="28" t="s">
        <v>47</v>
      </c>
      <c r="C242" s="51">
        <v>211</v>
      </c>
      <c r="D242" s="33">
        <f t="shared" si="44"/>
        <v>0</v>
      </c>
      <c r="E242" s="33">
        <f t="shared" si="45"/>
        <v>0</v>
      </c>
      <c r="F242" s="33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33"/>
      <c r="T242" s="85"/>
    </row>
    <row r="243" spans="1:20" s="6" customFormat="1" ht="16.5" x14ac:dyDescent="0.25">
      <c r="A243" s="63" t="s">
        <v>261</v>
      </c>
      <c r="B243" s="28" t="s">
        <v>49</v>
      </c>
      <c r="C243" s="51">
        <v>212</v>
      </c>
      <c r="D243" s="33">
        <f t="shared" si="44"/>
        <v>4400</v>
      </c>
      <c r="E243" s="33">
        <f t="shared" si="45"/>
        <v>0</v>
      </c>
      <c r="F243" s="33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33">
        <v>4400</v>
      </c>
      <c r="T243" s="85"/>
    </row>
    <row r="244" spans="1:20" s="6" customFormat="1" ht="16.5" x14ac:dyDescent="0.25">
      <c r="A244" s="63" t="s">
        <v>262</v>
      </c>
      <c r="B244" s="28" t="s">
        <v>51</v>
      </c>
      <c r="C244" s="51">
        <v>213</v>
      </c>
      <c r="D244" s="33">
        <f t="shared" si="44"/>
        <v>18200</v>
      </c>
      <c r="E244" s="33">
        <f t="shared" si="45"/>
        <v>0</v>
      </c>
      <c r="F244" s="33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33">
        <v>18200</v>
      </c>
      <c r="T244" s="85"/>
    </row>
    <row r="245" spans="1:20" s="6" customFormat="1" ht="16.5" x14ac:dyDescent="0.25">
      <c r="A245" s="63" t="s">
        <v>263</v>
      </c>
      <c r="B245" s="28" t="s">
        <v>53</v>
      </c>
      <c r="C245" s="51">
        <v>221</v>
      </c>
      <c r="D245" s="33">
        <f t="shared" si="44"/>
        <v>1399250</v>
      </c>
      <c r="E245" s="33">
        <f t="shared" si="45"/>
        <v>354999.84</v>
      </c>
      <c r="F245" s="33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33">
        <v>1399250</v>
      </c>
      <c r="T245" s="85">
        <v>354999.84</v>
      </c>
    </row>
    <row r="246" spans="1:20" s="6" customFormat="1" ht="16.5" x14ac:dyDescent="0.25">
      <c r="A246" s="63" t="s">
        <v>264</v>
      </c>
      <c r="B246" s="28" t="s">
        <v>55</v>
      </c>
      <c r="C246" s="51">
        <v>222</v>
      </c>
      <c r="D246" s="33">
        <f t="shared" si="44"/>
        <v>690300</v>
      </c>
      <c r="E246" s="33">
        <f t="shared" si="45"/>
        <v>188600</v>
      </c>
      <c r="F246" s="33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33">
        <v>690300</v>
      </c>
      <c r="T246" s="85">
        <v>188600</v>
      </c>
    </row>
    <row r="247" spans="1:20" s="6" customFormat="1" ht="16.5" x14ac:dyDescent="0.25">
      <c r="A247" s="63" t="s">
        <v>265</v>
      </c>
      <c r="B247" s="28" t="s">
        <v>57</v>
      </c>
      <c r="C247" s="51">
        <v>223</v>
      </c>
      <c r="D247" s="33">
        <f t="shared" si="44"/>
        <v>0</v>
      </c>
      <c r="E247" s="33">
        <f t="shared" si="45"/>
        <v>0</v>
      </c>
      <c r="F247" s="33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33"/>
      <c r="T247" s="85"/>
    </row>
    <row r="248" spans="1:20" s="6" customFormat="1" ht="16.5" x14ac:dyDescent="0.25">
      <c r="A248" s="63"/>
      <c r="B248" s="58" t="s">
        <v>213</v>
      </c>
      <c r="C248" s="51">
        <v>223</v>
      </c>
      <c r="D248" s="33">
        <f t="shared" si="44"/>
        <v>0</v>
      </c>
      <c r="E248" s="33">
        <f t="shared" si="45"/>
        <v>0</v>
      </c>
      <c r="F248" s="33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33"/>
      <c r="T248" s="85"/>
    </row>
    <row r="249" spans="1:20" s="6" customFormat="1" ht="16.5" x14ac:dyDescent="0.25">
      <c r="A249" s="63"/>
      <c r="B249" s="58" t="s">
        <v>214</v>
      </c>
      <c r="C249" s="51">
        <v>223</v>
      </c>
      <c r="D249" s="33">
        <f t="shared" si="44"/>
        <v>0</v>
      </c>
      <c r="E249" s="33">
        <f t="shared" si="45"/>
        <v>0</v>
      </c>
      <c r="F249" s="33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33"/>
      <c r="T249" s="85"/>
    </row>
    <row r="250" spans="1:20" s="6" customFormat="1" ht="16.5" x14ac:dyDescent="0.25">
      <c r="A250" s="63"/>
      <c r="B250" s="58" t="s">
        <v>215</v>
      </c>
      <c r="C250" s="51">
        <v>223</v>
      </c>
      <c r="D250" s="33">
        <f t="shared" si="44"/>
        <v>0</v>
      </c>
      <c r="E250" s="33">
        <f t="shared" si="45"/>
        <v>0</v>
      </c>
      <c r="F250" s="33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33"/>
      <c r="T250" s="85"/>
    </row>
    <row r="251" spans="1:20" s="6" customFormat="1" ht="16.5" x14ac:dyDescent="0.25">
      <c r="A251" s="63" t="s">
        <v>266</v>
      </c>
      <c r="B251" s="58" t="s">
        <v>217</v>
      </c>
      <c r="C251" s="51">
        <v>224</v>
      </c>
      <c r="D251" s="33">
        <f t="shared" si="44"/>
        <v>0</v>
      </c>
      <c r="E251" s="33">
        <f t="shared" si="45"/>
        <v>0</v>
      </c>
      <c r="F251" s="33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33"/>
      <c r="T251" s="85"/>
    </row>
    <row r="252" spans="1:20" s="6" customFormat="1" ht="16.5" x14ac:dyDescent="0.25">
      <c r="A252" s="63" t="s">
        <v>267</v>
      </c>
      <c r="B252" s="58" t="s">
        <v>219</v>
      </c>
      <c r="C252" s="51">
        <v>225</v>
      </c>
      <c r="D252" s="33">
        <f t="shared" si="44"/>
        <v>0</v>
      </c>
      <c r="E252" s="33">
        <f t="shared" si="45"/>
        <v>0</v>
      </c>
      <c r="F252" s="33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33"/>
      <c r="T252" s="85"/>
    </row>
    <row r="253" spans="1:20" s="6" customFormat="1" ht="16.5" x14ac:dyDescent="0.25">
      <c r="A253" s="63" t="s">
        <v>268</v>
      </c>
      <c r="B253" s="28" t="s">
        <v>64</v>
      </c>
      <c r="C253" s="51">
        <v>225</v>
      </c>
      <c r="D253" s="33">
        <f t="shared" si="44"/>
        <v>9380800</v>
      </c>
      <c r="E253" s="33">
        <f t="shared" si="45"/>
        <v>2630941.23</v>
      </c>
      <c r="F253" s="33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33">
        <f>343100+9037700</f>
        <v>9380800</v>
      </c>
      <c r="T253" s="85">
        <v>2630941.23</v>
      </c>
    </row>
    <row r="254" spans="1:20" s="6" customFormat="1" ht="16.5" x14ac:dyDescent="0.25">
      <c r="A254" s="63" t="s">
        <v>269</v>
      </c>
      <c r="B254" s="28" t="s">
        <v>66</v>
      </c>
      <c r="C254" s="51">
        <v>226</v>
      </c>
      <c r="D254" s="33">
        <f t="shared" si="44"/>
        <v>12518600</v>
      </c>
      <c r="E254" s="33">
        <f t="shared" si="45"/>
        <v>3487959.95</v>
      </c>
      <c r="F254" s="33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33">
        <f>11214500+1304100</f>
        <v>12518600</v>
      </c>
      <c r="T254" s="85">
        <v>3487959.95</v>
      </c>
    </row>
    <row r="255" spans="1:20" s="6" customFormat="1" ht="16.5" x14ac:dyDescent="0.25">
      <c r="A255" s="63" t="s">
        <v>270</v>
      </c>
      <c r="B255" s="58" t="s">
        <v>225</v>
      </c>
      <c r="C255" s="51">
        <v>226</v>
      </c>
      <c r="D255" s="33">
        <f t="shared" si="44"/>
        <v>0</v>
      </c>
      <c r="E255" s="33">
        <f t="shared" si="45"/>
        <v>0</v>
      </c>
      <c r="F255" s="33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33"/>
      <c r="T255" s="85"/>
    </row>
    <row r="256" spans="1:20" s="6" customFormat="1" ht="16.5" x14ac:dyDescent="0.25">
      <c r="A256" s="63" t="s">
        <v>271</v>
      </c>
      <c r="B256" s="28" t="s">
        <v>68</v>
      </c>
      <c r="C256" s="51">
        <v>290</v>
      </c>
      <c r="D256" s="33">
        <f t="shared" si="44"/>
        <v>400500</v>
      </c>
      <c r="E256" s="33">
        <f t="shared" si="45"/>
        <v>71660.72</v>
      </c>
      <c r="F256" s="33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33">
        <v>400500</v>
      </c>
      <c r="T256" s="85">
        <v>71660.72</v>
      </c>
    </row>
    <row r="257" spans="1:20" s="6" customFormat="1" ht="16.5" x14ac:dyDescent="0.25">
      <c r="A257" s="63" t="s">
        <v>272</v>
      </c>
      <c r="B257" s="58" t="s">
        <v>72</v>
      </c>
      <c r="C257" s="51">
        <v>310</v>
      </c>
      <c r="D257" s="33">
        <f t="shared" si="44"/>
        <v>9763102.8599999994</v>
      </c>
      <c r="E257" s="33">
        <f t="shared" si="45"/>
        <v>1570840.39</v>
      </c>
      <c r="F257" s="33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33">
        <v>9763102.8599999994</v>
      </c>
      <c r="T257" s="85">
        <v>1570840.39</v>
      </c>
    </row>
    <row r="258" spans="1:20" s="6" customFormat="1" ht="16.5" x14ac:dyDescent="0.25">
      <c r="A258" s="63" t="s">
        <v>273</v>
      </c>
      <c r="B258" s="58" t="s">
        <v>243</v>
      </c>
      <c r="C258" s="51">
        <v>340</v>
      </c>
      <c r="D258" s="33">
        <f t="shared" si="44"/>
        <v>20002900.859999999</v>
      </c>
      <c r="E258" s="33">
        <f t="shared" si="45"/>
        <v>5308696.83</v>
      </c>
      <c r="F258" s="33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33">
        <v>20002900.859999999</v>
      </c>
      <c r="T258" s="85">
        <v>5308696.83</v>
      </c>
    </row>
    <row r="259" spans="1:20" s="18" customFormat="1" ht="20.25" customHeight="1" x14ac:dyDescent="0.25">
      <c r="A259" s="168" t="s">
        <v>304</v>
      </c>
      <c r="B259" s="168"/>
      <c r="C259" s="49"/>
      <c r="D259" s="34">
        <f t="shared" ref="D259:E259" si="50">SUM(D15+D31-D47)</f>
        <v>-4.76837158203125E-7</v>
      </c>
      <c r="E259" s="34">
        <f t="shared" si="50"/>
        <v>58673640.340000033</v>
      </c>
      <c r="F259" s="34"/>
      <c r="G259" s="34">
        <f t="shared" ref="G259" si="51">SUM(G15+G31-G47)</f>
        <v>0</v>
      </c>
      <c r="H259" s="34">
        <f t="shared" ref="H259:T259" si="52">SUM(H15+H31-H47)</f>
        <v>1842876.1399999261</v>
      </c>
      <c r="I259" s="34">
        <f t="shared" si="52"/>
        <v>0</v>
      </c>
      <c r="J259" s="34">
        <f t="shared" si="52"/>
        <v>0</v>
      </c>
      <c r="K259" s="34">
        <f t="shared" si="52"/>
        <v>0</v>
      </c>
      <c r="L259" s="34">
        <f t="shared" si="52"/>
        <v>765067.81999999285</v>
      </c>
      <c r="M259" s="34">
        <f t="shared" si="52"/>
        <v>0</v>
      </c>
      <c r="N259" s="34">
        <f t="shared" si="52"/>
        <v>503.67999999999302</v>
      </c>
      <c r="O259" s="34">
        <f t="shared" si="52"/>
        <v>0</v>
      </c>
      <c r="P259" s="34">
        <f t="shared" si="52"/>
        <v>0</v>
      </c>
      <c r="Q259" s="34">
        <f t="shared" si="52"/>
        <v>0</v>
      </c>
      <c r="R259" s="34">
        <f t="shared" si="52"/>
        <v>0</v>
      </c>
      <c r="S259" s="34">
        <f t="shared" si="52"/>
        <v>0</v>
      </c>
      <c r="T259" s="34">
        <f t="shared" si="52"/>
        <v>56065192.700000018</v>
      </c>
    </row>
    <row r="260" spans="1:20" s="18" customFormat="1" ht="17.25" x14ac:dyDescent="0.25">
      <c r="A260" s="47" t="s">
        <v>17</v>
      </c>
      <c r="B260" s="48" t="s">
        <v>18</v>
      </c>
      <c r="C260" s="49"/>
      <c r="D260" s="34">
        <f t="shared" ref="D260:E260" si="53">SUM(D261:D263)</f>
        <v>0</v>
      </c>
      <c r="E260" s="34">
        <f t="shared" si="53"/>
        <v>2208154.4799999706</v>
      </c>
      <c r="F260" s="34"/>
      <c r="G260" s="34">
        <f>SUM(G261:G263)</f>
        <v>0</v>
      </c>
      <c r="H260" s="34">
        <f t="shared" ref="H260:T260" si="54">SUM(H261:H263)</f>
        <v>1442582.9799999706</v>
      </c>
      <c r="I260" s="34">
        <f t="shared" si="54"/>
        <v>0</v>
      </c>
      <c r="J260" s="34">
        <f t="shared" si="54"/>
        <v>0</v>
      </c>
      <c r="K260" s="34">
        <f t="shared" si="54"/>
        <v>0</v>
      </c>
      <c r="L260" s="34">
        <f t="shared" si="54"/>
        <v>765067.81999999285</v>
      </c>
      <c r="M260" s="34">
        <f t="shared" si="54"/>
        <v>0</v>
      </c>
      <c r="N260" s="34">
        <f t="shared" si="54"/>
        <v>503.67999999999302</v>
      </c>
      <c r="O260" s="34">
        <f t="shared" si="54"/>
        <v>0</v>
      </c>
      <c r="P260" s="34">
        <f t="shared" si="54"/>
        <v>0</v>
      </c>
      <c r="Q260" s="34">
        <f t="shared" si="54"/>
        <v>0</v>
      </c>
      <c r="R260" s="34">
        <f t="shared" si="54"/>
        <v>0</v>
      </c>
      <c r="S260" s="34">
        <f t="shared" si="54"/>
        <v>0</v>
      </c>
      <c r="T260" s="34">
        <f t="shared" si="54"/>
        <v>0</v>
      </c>
    </row>
    <row r="261" spans="1:20" s="6" customFormat="1" ht="16.5" x14ac:dyDescent="0.25">
      <c r="A261" s="50" t="s">
        <v>19</v>
      </c>
      <c r="B261" s="28" t="s">
        <v>274</v>
      </c>
      <c r="C261" s="51"/>
      <c r="D261" s="33">
        <f t="shared" ref="D261:E261" si="55">D17+D33-D49</f>
        <v>0</v>
      </c>
      <c r="E261" s="33">
        <f t="shared" si="55"/>
        <v>2171874.0899999738</v>
      </c>
      <c r="F261" s="33"/>
      <c r="G261" s="33">
        <f>G17+G33-G49</f>
        <v>0</v>
      </c>
      <c r="H261" s="33">
        <f t="shared" ref="H261:T261" si="56">H17+H33-H49</f>
        <v>1406302.5899999738</v>
      </c>
      <c r="I261" s="33">
        <f t="shared" si="56"/>
        <v>0</v>
      </c>
      <c r="J261" s="33">
        <f t="shared" si="56"/>
        <v>0</v>
      </c>
      <c r="K261" s="33">
        <f t="shared" si="56"/>
        <v>0</v>
      </c>
      <c r="L261" s="33">
        <f t="shared" si="56"/>
        <v>765067.81999999285</v>
      </c>
      <c r="M261" s="33">
        <f t="shared" si="56"/>
        <v>0</v>
      </c>
      <c r="N261" s="33">
        <f t="shared" si="56"/>
        <v>503.67999999999302</v>
      </c>
      <c r="O261" s="33">
        <f t="shared" si="56"/>
        <v>0</v>
      </c>
      <c r="P261" s="33">
        <f t="shared" si="56"/>
        <v>0</v>
      </c>
      <c r="Q261" s="33">
        <f t="shared" si="56"/>
        <v>0</v>
      </c>
      <c r="R261" s="33">
        <f t="shared" si="56"/>
        <v>0</v>
      </c>
      <c r="S261" s="33">
        <f t="shared" si="56"/>
        <v>0</v>
      </c>
      <c r="T261" s="33">
        <f t="shared" si="56"/>
        <v>0</v>
      </c>
    </row>
    <row r="262" spans="1:20" s="6" customFormat="1" ht="16.5" x14ac:dyDescent="0.25">
      <c r="A262" s="50" t="s">
        <v>21</v>
      </c>
      <c r="B262" s="28" t="s">
        <v>22</v>
      </c>
      <c r="C262" s="51"/>
      <c r="D262" s="33">
        <f t="shared" ref="D262:E262" si="57">D19+D34-D78</f>
        <v>0</v>
      </c>
      <c r="E262" s="33">
        <f t="shared" si="57"/>
        <v>36280.389999996871</v>
      </c>
      <c r="F262" s="33"/>
      <c r="G262" s="33">
        <f>G19+G34-G78</f>
        <v>0</v>
      </c>
      <c r="H262" s="33">
        <f t="shared" ref="H262:T262" si="58">H19+H34-H78</f>
        <v>36280.389999996871</v>
      </c>
      <c r="I262" s="33">
        <f t="shared" si="58"/>
        <v>0</v>
      </c>
      <c r="J262" s="33">
        <f t="shared" si="58"/>
        <v>0</v>
      </c>
      <c r="K262" s="33">
        <f t="shared" si="58"/>
        <v>0</v>
      </c>
      <c r="L262" s="33">
        <f t="shared" si="58"/>
        <v>0</v>
      </c>
      <c r="M262" s="33">
        <f t="shared" si="58"/>
        <v>0</v>
      </c>
      <c r="N262" s="33">
        <f t="shared" si="58"/>
        <v>0</v>
      </c>
      <c r="O262" s="33">
        <f t="shared" si="58"/>
        <v>0</v>
      </c>
      <c r="P262" s="33">
        <f t="shared" si="58"/>
        <v>0</v>
      </c>
      <c r="Q262" s="33">
        <f t="shared" si="58"/>
        <v>0</v>
      </c>
      <c r="R262" s="33">
        <f t="shared" si="58"/>
        <v>0</v>
      </c>
      <c r="S262" s="33">
        <f t="shared" si="58"/>
        <v>0</v>
      </c>
      <c r="T262" s="33">
        <f t="shared" si="58"/>
        <v>0</v>
      </c>
    </row>
    <row r="263" spans="1:20" s="6" customFormat="1" ht="16.5" hidden="1" x14ac:dyDescent="0.25">
      <c r="A263" s="52"/>
      <c r="B263" s="28"/>
      <c r="C263" s="51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</row>
    <row r="264" spans="1:20" s="18" customFormat="1" ht="17.25" x14ac:dyDescent="0.25">
      <c r="A264" s="53" t="s">
        <v>25</v>
      </c>
      <c r="B264" s="48" t="s">
        <v>26</v>
      </c>
      <c r="C264" s="49"/>
      <c r="D264" s="34">
        <f t="shared" ref="D264:E264" si="59">D20+D36-D84</f>
        <v>0</v>
      </c>
      <c r="E264" s="34">
        <f t="shared" si="59"/>
        <v>400293.15999999642</v>
      </c>
      <c r="F264" s="34"/>
      <c r="G264" s="34">
        <f t="shared" ref="G264:G265" si="60">G20+G36-G84</f>
        <v>0</v>
      </c>
      <c r="H264" s="34">
        <f t="shared" ref="H264:T264" si="61">H20+H36-H84</f>
        <v>400293.15999999642</v>
      </c>
      <c r="I264" s="34">
        <f t="shared" si="61"/>
        <v>0</v>
      </c>
      <c r="J264" s="34">
        <f t="shared" si="61"/>
        <v>0</v>
      </c>
      <c r="K264" s="34">
        <f t="shared" si="61"/>
        <v>0</v>
      </c>
      <c r="L264" s="34">
        <f t="shared" si="61"/>
        <v>0</v>
      </c>
      <c r="M264" s="34">
        <f t="shared" si="61"/>
        <v>0</v>
      </c>
      <c r="N264" s="34">
        <f t="shared" si="61"/>
        <v>0</v>
      </c>
      <c r="O264" s="34">
        <f t="shared" si="61"/>
        <v>0</v>
      </c>
      <c r="P264" s="34">
        <f t="shared" si="61"/>
        <v>0</v>
      </c>
      <c r="Q264" s="34">
        <f t="shared" si="61"/>
        <v>0</v>
      </c>
      <c r="R264" s="34">
        <f t="shared" si="61"/>
        <v>0</v>
      </c>
      <c r="S264" s="34">
        <f t="shared" si="61"/>
        <v>0</v>
      </c>
      <c r="T264" s="34">
        <f t="shared" si="61"/>
        <v>0</v>
      </c>
    </row>
    <row r="265" spans="1:20" s="6" customFormat="1" ht="33" x14ac:dyDescent="0.25">
      <c r="A265" s="73" t="s">
        <v>27</v>
      </c>
      <c r="B265" s="58" t="s">
        <v>83</v>
      </c>
      <c r="C265" s="51"/>
      <c r="D265" s="33">
        <f t="shared" ref="D265:E265" si="62">D21+D37-D85</f>
        <v>0</v>
      </c>
      <c r="E265" s="33">
        <f t="shared" si="62"/>
        <v>400293.15999999642</v>
      </c>
      <c r="F265" s="33"/>
      <c r="G265" s="33">
        <f t="shared" si="60"/>
        <v>0</v>
      </c>
      <c r="H265" s="33">
        <f t="shared" ref="H265:T265" si="63">H21+H37-H85</f>
        <v>400293.15999999642</v>
      </c>
      <c r="I265" s="33">
        <f t="shared" si="63"/>
        <v>0</v>
      </c>
      <c r="J265" s="33">
        <f t="shared" si="63"/>
        <v>0</v>
      </c>
      <c r="K265" s="33">
        <f t="shared" si="63"/>
        <v>0</v>
      </c>
      <c r="L265" s="33">
        <f t="shared" si="63"/>
        <v>0</v>
      </c>
      <c r="M265" s="33">
        <f t="shared" si="63"/>
        <v>0</v>
      </c>
      <c r="N265" s="33">
        <f t="shared" si="63"/>
        <v>0</v>
      </c>
      <c r="O265" s="33">
        <f t="shared" si="63"/>
        <v>0</v>
      </c>
      <c r="P265" s="33">
        <f t="shared" si="63"/>
        <v>0</v>
      </c>
      <c r="Q265" s="33">
        <f t="shared" si="63"/>
        <v>0</v>
      </c>
      <c r="R265" s="33">
        <f t="shared" si="63"/>
        <v>0</v>
      </c>
      <c r="S265" s="33">
        <f t="shared" si="63"/>
        <v>0</v>
      </c>
      <c r="T265" s="33">
        <f t="shared" si="63"/>
        <v>0</v>
      </c>
    </row>
    <row r="266" spans="1:20" s="6" customFormat="1" ht="33" x14ac:dyDescent="0.25">
      <c r="A266" s="73" t="s">
        <v>29</v>
      </c>
      <c r="B266" s="58" t="s">
        <v>44</v>
      </c>
      <c r="C266" s="51"/>
      <c r="D266" s="33">
        <f t="shared" ref="D266:E266" si="64">D22+D38-D165</f>
        <v>0</v>
      </c>
      <c r="E266" s="33">
        <f t="shared" si="64"/>
        <v>0</v>
      </c>
      <c r="F266" s="33"/>
      <c r="G266" s="33">
        <f t="shared" ref="G266" si="65">G22+G38-G165</f>
        <v>0</v>
      </c>
      <c r="H266" s="33">
        <f t="shared" ref="H266:T266" si="66">H22+H38-H165</f>
        <v>0</v>
      </c>
      <c r="I266" s="33">
        <f t="shared" si="66"/>
        <v>0</v>
      </c>
      <c r="J266" s="33">
        <f t="shared" si="66"/>
        <v>0</v>
      </c>
      <c r="K266" s="33">
        <f t="shared" si="66"/>
        <v>0</v>
      </c>
      <c r="L266" s="33">
        <f t="shared" si="66"/>
        <v>0</v>
      </c>
      <c r="M266" s="33">
        <f t="shared" si="66"/>
        <v>0</v>
      </c>
      <c r="N266" s="33">
        <f t="shared" si="66"/>
        <v>0</v>
      </c>
      <c r="O266" s="33">
        <f t="shared" si="66"/>
        <v>0</v>
      </c>
      <c r="P266" s="33">
        <f t="shared" si="66"/>
        <v>0</v>
      </c>
      <c r="Q266" s="33">
        <f t="shared" si="66"/>
        <v>0</v>
      </c>
      <c r="R266" s="33">
        <f t="shared" si="66"/>
        <v>0</v>
      </c>
      <c r="S266" s="33">
        <f t="shared" si="66"/>
        <v>0</v>
      </c>
      <c r="T266" s="33">
        <f t="shared" si="66"/>
        <v>0</v>
      </c>
    </row>
    <row r="267" spans="1:20" s="6" customFormat="1" ht="49.5" x14ac:dyDescent="0.25">
      <c r="A267" s="73" t="s">
        <v>31</v>
      </c>
      <c r="B267" s="28" t="s">
        <v>189</v>
      </c>
      <c r="C267" s="51"/>
      <c r="D267" s="33">
        <f t="shared" ref="D267:E267" si="67">D23+D39-D168</f>
        <v>0</v>
      </c>
      <c r="E267" s="33">
        <f t="shared" si="67"/>
        <v>0</v>
      </c>
      <c r="F267" s="33"/>
      <c r="G267" s="33">
        <f t="shared" ref="G267" si="68">G23+G39-G168</f>
        <v>0</v>
      </c>
      <c r="H267" s="33">
        <f t="shared" ref="H267:T267" si="69">H23+H39-H168</f>
        <v>0</v>
      </c>
      <c r="I267" s="33">
        <f t="shared" si="69"/>
        <v>0</v>
      </c>
      <c r="J267" s="33">
        <f t="shared" si="69"/>
        <v>0</v>
      </c>
      <c r="K267" s="33">
        <f t="shared" si="69"/>
        <v>0</v>
      </c>
      <c r="L267" s="33">
        <f t="shared" si="69"/>
        <v>0</v>
      </c>
      <c r="M267" s="33">
        <f t="shared" si="69"/>
        <v>0</v>
      </c>
      <c r="N267" s="33">
        <f t="shared" si="69"/>
        <v>0</v>
      </c>
      <c r="O267" s="33">
        <f t="shared" si="69"/>
        <v>0</v>
      </c>
      <c r="P267" s="33">
        <f t="shared" si="69"/>
        <v>0</v>
      </c>
      <c r="Q267" s="33">
        <f t="shared" si="69"/>
        <v>0</v>
      </c>
      <c r="R267" s="33">
        <f t="shared" si="69"/>
        <v>0</v>
      </c>
      <c r="S267" s="33">
        <f t="shared" si="69"/>
        <v>0</v>
      </c>
      <c r="T267" s="33">
        <f t="shared" si="69"/>
        <v>0</v>
      </c>
    </row>
    <row r="268" spans="1:20" s="6" customFormat="1" ht="33" x14ac:dyDescent="0.25">
      <c r="A268" s="73" t="s">
        <v>33</v>
      </c>
      <c r="B268" s="58" t="s">
        <v>34</v>
      </c>
      <c r="C268" s="51"/>
      <c r="D268" s="33">
        <f t="shared" ref="D268:E268" si="70">D24+D40-D174</f>
        <v>0</v>
      </c>
      <c r="E268" s="33">
        <f t="shared" si="70"/>
        <v>0</v>
      </c>
      <c r="F268" s="33"/>
      <c r="G268" s="33">
        <f t="shared" ref="G268" si="71">G24+G40-G174</f>
        <v>0</v>
      </c>
      <c r="H268" s="33">
        <f t="shared" ref="H268:T268" si="72">H24+H40-H174</f>
        <v>0</v>
      </c>
      <c r="I268" s="33">
        <f t="shared" si="72"/>
        <v>0</v>
      </c>
      <c r="J268" s="33">
        <f t="shared" si="72"/>
        <v>0</v>
      </c>
      <c r="K268" s="33">
        <f t="shared" si="72"/>
        <v>0</v>
      </c>
      <c r="L268" s="33">
        <f t="shared" si="72"/>
        <v>0</v>
      </c>
      <c r="M268" s="33">
        <f t="shared" si="72"/>
        <v>0</v>
      </c>
      <c r="N268" s="33">
        <f t="shared" si="72"/>
        <v>0</v>
      </c>
      <c r="O268" s="33">
        <f t="shared" si="72"/>
        <v>0</v>
      </c>
      <c r="P268" s="33">
        <f t="shared" si="72"/>
        <v>0</v>
      </c>
      <c r="Q268" s="33">
        <f t="shared" si="72"/>
        <v>0</v>
      </c>
      <c r="R268" s="33">
        <f t="shared" si="72"/>
        <v>0</v>
      </c>
      <c r="S268" s="33">
        <f t="shared" si="72"/>
        <v>0</v>
      </c>
      <c r="T268" s="33">
        <f t="shared" si="72"/>
        <v>0</v>
      </c>
    </row>
    <row r="269" spans="1:20" s="6" customFormat="1" ht="49.5" x14ac:dyDescent="0.25">
      <c r="A269" s="73" t="s">
        <v>35</v>
      </c>
      <c r="B269" s="58" t="s">
        <v>36</v>
      </c>
      <c r="C269" s="51"/>
      <c r="D269" s="33">
        <f t="shared" ref="D269:E269" si="73">D25+D41-D180</f>
        <v>0</v>
      </c>
      <c r="E269" s="33">
        <f t="shared" si="73"/>
        <v>0</v>
      </c>
      <c r="F269" s="33"/>
      <c r="G269" s="33">
        <f t="shared" ref="G269" si="74">G25+G41-G180</f>
        <v>0</v>
      </c>
      <c r="H269" s="33">
        <f t="shared" ref="H269:T269" si="75">H25+H41-H180</f>
        <v>0</v>
      </c>
      <c r="I269" s="33">
        <f t="shared" si="75"/>
        <v>0</v>
      </c>
      <c r="J269" s="33">
        <f t="shared" si="75"/>
        <v>0</v>
      </c>
      <c r="K269" s="33">
        <f t="shared" si="75"/>
        <v>0</v>
      </c>
      <c r="L269" s="33">
        <f t="shared" si="75"/>
        <v>0</v>
      </c>
      <c r="M269" s="33">
        <f t="shared" si="75"/>
        <v>0</v>
      </c>
      <c r="N269" s="33">
        <f t="shared" si="75"/>
        <v>0</v>
      </c>
      <c r="O269" s="33">
        <f t="shared" si="75"/>
        <v>0</v>
      </c>
      <c r="P269" s="33">
        <f t="shared" si="75"/>
        <v>0</v>
      </c>
      <c r="Q269" s="33">
        <f t="shared" si="75"/>
        <v>0</v>
      </c>
      <c r="R269" s="33">
        <f t="shared" si="75"/>
        <v>0</v>
      </c>
      <c r="S269" s="33">
        <f t="shared" si="75"/>
        <v>0</v>
      </c>
      <c r="T269" s="33">
        <f t="shared" si="75"/>
        <v>0</v>
      </c>
    </row>
    <row r="270" spans="1:20" s="18" customFormat="1" ht="17.25" x14ac:dyDescent="0.25">
      <c r="A270" s="47">
        <v>3</v>
      </c>
      <c r="B270" s="62" t="s">
        <v>37</v>
      </c>
      <c r="C270" s="49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</row>
    <row r="271" spans="1:20" s="18" customFormat="1" ht="17.25" x14ac:dyDescent="0.25">
      <c r="A271" s="47">
        <v>4</v>
      </c>
      <c r="B271" s="62" t="s">
        <v>38</v>
      </c>
      <c r="C271" s="49"/>
      <c r="D271" s="34">
        <f t="shared" ref="D271:E271" si="76">D27+D43-D187</f>
        <v>0</v>
      </c>
      <c r="E271" s="34">
        <f t="shared" si="76"/>
        <v>3556719.2100000009</v>
      </c>
      <c r="F271" s="34"/>
      <c r="G271" s="34">
        <f t="shared" ref="G271" si="77">G27+G43-G187</f>
        <v>0</v>
      </c>
      <c r="H271" s="34">
        <f t="shared" ref="H271:T271" si="78">H27+H43-H187</f>
        <v>0</v>
      </c>
      <c r="I271" s="34">
        <f t="shared" si="78"/>
        <v>0</v>
      </c>
      <c r="J271" s="34">
        <f t="shared" si="78"/>
        <v>0</v>
      </c>
      <c r="K271" s="34">
        <f t="shared" si="78"/>
        <v>0</v>
      </c>
      <c r="L271" s="34">
        <f t="shared" si="78"/>
        <v>0</v>
      </c>
      <c r="M271" s="34">
        <f t="shared" si="78"/>
        <v>0</v>
      </c>
      <c r="N271" s="34">
        <f t="shared" si="78"/>
        <v>0</v>
      </c>
      <c r="O271" s="34">
        <f t="shared" si="78"/>
        <v>0</v>
      </c>
      <c r="P271" s="34">
        <f t="shared" si="78"/>
        <v>0</v>
      </c>
      <c r="Q271" s="34">
        <f t="shared" si="78"/>
        <v>0</v>
      </c>
      <c r="R271" s="34">
        <f t="shared" si="78"/>
        <v>0</v>
      </c>
      <c r="S271" s="34">
        <f t="shared" si="78"/>
        <v>0</v>
      </c>
      <c r="T271" s="34">
        <f t="shared" si="78"/>
        <v>3556719.2100000009</v>
      </c>
    </row>
    <row r="272" spans="1:20" s="18" customFormat="1" ht="17.25" x14ac:dyDescent="0.25">
      <c r="A272" s="47">
        <v>5</v>
      </c>
      <c r="B272" s="62" t="s">
        <v>39</v>
      </c>
      <c r="C272" s="49"/>
      <c r="D272" s="34">
        <f t="shared" ref="D272:E272" si="79">D28+D44-D206</f>
        <v>0</v>
      </c>
      <c r="E272" s="34">
        <f t="shared" si="79"/>
        <v>145847.28000000003</v>
      </c>
      <c r="F272" s="34"/>
      <c r="G272" s="34">
        <f>G28+G44-G206</f>
        <v>0</v>
      </c>
      <c r="H272" s="34">
        <f t="shared" ref="H272:T272" si="80">H28+H44-H206</f>
        <v>0</v>
      </c>
      <c r="I272" s="34">
        <f t="shared" si="80"/>
        <v>0</v>
      </c>
      <c r="J272" s="34">
        <f t="shared" si="80"/>
        <v>0</v>
      </c>
      <c r="K272" s="34">
        <f t="shared" si="80"/>
        <v>0</v>
      </c>
      <c r="L272" s="34">
        <f t="shared" si="80"/>
        <v>0</v>
      </c>
      <c r="M272" s="34">
        <f t="shared" si="80"/>
        <v>0</v>
      </c>
      <c r="N272" s="34">
        <f t="shared" si="80"/>
        <v>0</v>
      </c>
      <c r="O272" s="34">
        <f t="shared" si="80"/>
        <v>0</v>
      </c>
      <c r="P272" s="34">
        <f t="shared" si="80"/>
        <v>0</v>
      </c>
      <c r="Q272" s="34">
        <f t="shared" si="80"/>
        <v>0</v>
      </c>
      <c r="R272" s="34">
        <f t="shared" si="80"/>
        <v>0</v>
      </c>
      <c r="S272" s="34">
        <f t="shared" si="80"/>
        <v>0</v>
      </c>
      <c r="T272" s="34">
        <f t="shared" si="80"/>
        <v>145847.28000000003</v>
      </c>
    </row>
    <row r="273" spans="1:20" s="18" customFormat="1" ht="17.25" x14ac:dyDescent="0.25">
      <c r="A273" s="47">
        <v>6</v>
      </c>
      <c r="B273" s="62" t="s">
        <v>40</v>
      </c>
      <c r="C273" s="49"/>
      <c r="D273" s="34">
        <f t="shared" ref="D273:E273" si="81">D29+D45-D223</f>
        <v>0</v>
      </c>
      <c r="E273" s="34">
        <f t="shared" si="81"/>
        <v>48604589.600000024</v>
      </c>
      <c r="F273" s="34"/>
      <c r="G273" s="34">
        <f>G29+G45-G223</f>
        <v>0</v>
      </c>
      <c r="H273" s="34">
        <f t="shared" ref="H273:T273" si="82">H29+H45-H223</f>
        <v>0</v>
      </c>
      <c r="I273" s="34">
        <f t="shared" si="82"/>
        <v>0</v>
      </c>
      <c r="J273" s="34">
        <f t="shared" si="82"/>
        <v>0</v>
      </c>
      <c r="K273" s="34">
        <f t="shared" si="82"/>
        <v>0</v>
      </c>
      <c r="L273" s="34">
        <f t="shared" si="82"/>
        <v>0</v>
      </c>
      <c r="M273" s="34">
        <f t="shared" si="82"/>
        <v>0</v>
      </c>
      <c r="N273" s="34">
        <f t="shared" si="82"/>
        <v>0</v>
      </c>
      <c r="O273" s="34">
        <f t="shared" si="82"/>
        <v>0</v>
      </c>
      <c r="P273" s="34">
        <f t="shared" si="82"/>
        <v>0</v>
      </c>
      <c r="Q273" s="34">
        <f t="shared" si="82"/>
        <v>0</v>
      </c>
      <c r="R273" s="34">
        <f t="shared" si="82"/>
        <v>0</v>
      </c>
      <c r="S273" s="34">
        <f t="shared" si="82"/>
        <v>0</v>
      </c>
      <c r="T273" s="34">
        <f t="shared" si="82"/>
        <v>48604589.600000024</v>
      </c>
    </row>
    <row r="274" spans="1:20" s="18" customFormat="1" ht="17.25" x14ac:dyDescent="0.25">
      <c r="A274" s="47">
        <v>7</v>
      </c>
      <c r="B274" s="62" t="s">
        <v>41</v>
      </c>
      <c r="C274" s="49"/>
      <c r="D274" s="34">
        <f t="shared" ref="D274:E274" si="83">D30+D46-D241</f>
        <v>0</v>
      </c>
      <c r="E274" s="34">
        <f t="shared" si="83"/>
        <v>3758036.6099999994</v>
      </c>
      <c r="F274" s="34"/>
      <c r="G274" s="34">
        <f>G30+G46-G241</f>
        <v>0</v>
      </c>
      <c r="H274" s="34">
        <f t="shared" ref="H274:T274" si="84">H30+H46-H241</f>
        <v>0</v>
      </c>
      <c r="I274" s="34">
        <f t="shared" si="84"/>
        <v>0</v>
      </c>
      <c r="J274" s="34">
        <f t="shared" si="84"/>
        <v>0</v>
      </c>
      <c r="K274" s="34">
        <f t="shared" si="84"/>
        <v>0</v>
      </c>
      <c r="L274" s="34">
        <f t="shared" si="84"/>
        <v>0</v>
      </c>
      <c r="M274" s="34">
        <f t="shared" si="84"/>
        <v>0</v>
      </c>
      <c r="N274" s="34">
        <f t="shared" si="84"/>
        <v>0</v>
      </c>
      <c r="O274" s="34">
        <f t="shared" si="84"/>
        <v>0</v>
      </c>
      <c r="P274" s="34">
        <f t="shared" si="84"/>
        <v>0</v>
      </c>
      <c r="Q274" s="34">
        <f t="shared" si="84"/>
        <v>0</v>
      </c>
      <c r="R274" s="34">
        <f t="shared" si="84"/>
        <v>0</v>
      </c>
      <c r="S274" s="34">
        <f t="shared" si="84"/>
        <v>0</v>
      </c>
      <c r="T274" s="34">
        <f t="shared" si="84"/>
        <v>3758036.6099999994</v>
      </c>
    </row>
  </sheetData>
  <mergeCells count="23">
    <mergeCell ref="A15:B15"/>
    <mergeCell ref="A31:B31"/>
    <mergeCell ref="A47:B47"/>
    <mergeCell ref="A259:B259"/>
    <mergeCell ref="A9:S9"/>
    <mergeCell ref="A11:A14"/>
    <mergeCell ref="B11:B14"/>
    <mergeCell ref="C11:C14"/>
    <mergeCell ref="D11:E13"/>
    <mergeCell ref="G11:T11"/>
    <mergeCell ref="G12:H13"/>
    <mergeCell ref="I12:R12"/>
    <mergeCell ref="S12:T13"/>
    <mergeCell ref="I13:J13"/>
    <mergeCell ref="K13:L13"/>
    <mergeCell ref="M13:N13"/>
    <mergeCell ref="O13:P13"/>
    <mergeCell ref="Q13:R13"/>
    <mergeCell ref="M1:U1"/>
    <mergeCell ref="M2:U2"/>
    <mergeCell ref="M3:U3"/>
    <mergeCell ref="A7:T7"/>
    <mergeCell ref="A8:T8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45" orientation="landscape" horizontalDpi="180" verticalDpi="180" r:id="rId1"/>
  <rowBreaks count="3" manualBreakCount="3">
    <brk id="46" max="18" man="1"/>
    <brk id="120" max="18" man="1"/>
    <brk id="222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Q274"/>
  <sheetViews>
    <sheetView view="pageBreakPreview" topLeftCell="A11" zoomScale="70" zoomScaleNormal="80" zoomScaleSheetLayoutView="70" workbookViewId="0">
      <selection activeCell="M21" sqref="M21"/>
    </sheetView>
  </sheetViews>
  <sheetFormatPr defaultRowHeight="15" x14ac:dyDescent="0.25"/>
  <cols>
    <col min="1" max="1" width="9" customWidth="1"/>
    <col min="2" max="2" width="62.28515625" customWidth="1"/>
    <col min="3" max="3" width="9.85546875" customWidth="1"/>
    <col min="4" max="4" width="19.7109375" customWidth="1"/>
    <col min="5" max="5" width="20" customWidth="1"/>
    <col min="6" max="6" width="17.7109375" customWidth="1"/>
    <col min="7" max="8" width="17.7109375" bestFit="1" customWidth="1"/>
    <col min="9" max="9" width="19.7109375" bestFit="1" customWidth="1"/>
    <col min="10" max="10" width="17.7109375" bestFit="1" customWidth="1"/>
    <col min="11" max="11" width="15.28515625" bestFit="1" customWidth="1"/>
    <col min="12" max="12" width="15.85546875" customWidth="1"/>
    <col min="13" max="14" width="15.28515625" bestFit="1" customWidth="1"/>
    <col min="15" max="15" width="16.42578125" customWidth="1"/>
    <col min="16" max="16" width="15.28515625" bestFit="1" customWidth="1"/>
    <col min="17" max="17" width="15.7109375" customWidth="1"/>
    <col min="18" max="18" width="12.28515625" bestFit="1" customWidth="1"/>
    <col min="19" max="19" width="17.7109375" bestFit="1" customWidth="1"/>
    <col min="20" max="20" width="15.7109375" customWidth="1"/>
  </cols>
  <sheetData>
    <row r="1" spans="1:28" s="6" customFormat="1" ht="33" hidden="1" x14ac:dyDescent="0.25">
      <c r="A1" s="1"/>
      <c r="B1" s="2"/>
      <c r="C1" s="3"/>
      <c r="D1" s="3"/>
      <c r="E1" s="3"/>
      <c r="F1" s="3"/>
      <c r="G1" s="4"/>
      <c r="H1" s="4"/>
      <c r="I1" s="5"/>
      <c r="J1" s="5"/>
      <c r="K1" s="5"/>
      <c r="L1" s="5"/>
      <c r="M1" s="170" t="s">
        <v>0</v>
      </c>
      <c r="N1" s="170"/>
      <c r="O1" s="170"/>
      <c r="P1" s="170"/>
      <c r="Q1" s="170"/>
      <c r="R1" s="170"/>
      <c r="S1" s="170"/>
      <c r="T1" s="170"/>
      <c r="U1" s="170"/>
    </row>
    <row r="2" spans="1:28" s="6" customFormat="1" ht="33" hidden="1" x14ac:dyDescent="0.25">
      <c r="A2" s="1"/>
      <c r="B2" s="2"/>
      <c r="C2" s="3"/>
      <c r="D2" s="3"/>
      <c r="E2" s="3"/>
      <c r="F2" s="3"/>
      <c r="G2" s="3"/>
      <c r="H2" s="3"/>
      <c r="I2" s="5"/>
      <c r="J2" s="5"/>
      <c r="K2" s="5"/>
      <c r="L2" s="5"/>
      <c r="M2" s="170" t="s">
        <v>1</v>
      </c>
      <c r="N2" s="170"/>
      <c r="O2" s="170"/>
      <c r="P2" s="170"/>
      <c r="Q2" s="170"/>
      <c r="R2" s="170"/>
      <c r="S2" s="170"/>
      <c r="T2" s="170"/>
      <c r="U2" s="170"/>
    </row>
    <row r="3" spans="1:28" s="6" customFormat="1" ht="33" hidden="1" x14ac:dyDescent="0.25">
      <c r="A3" s="1"/>
      <c r="B3" s="2"/>
      <c r="C3" s="3"/>
      <c r="D3" s="3"/>
      <c r="E3" s="3"/>
      <c r="F3" s="3"/>
      <c r="G3" s="3"/>
      <c r="H3" s="3"/>
      <c r="I3" s="5"/>
      <c r="J3" s="5"/>
      <c r="K3" s="5"/>
      <c r="L3" s="5"/>
      <c r="M3" s="170" t="s">
        <v>2</v>
      </c>
      <c r="N3" s="170"/>
      <c r="O3" s="170"/>
      <c r="P3" s="170"/>
      <c r="Q3" s="170"/>
      <c r="R3" s="170"/>
      <c r="S3" s="170"/>
      <c r="T3" s="170"/>
      <c r="U3" s="170"/>
    </row>
    <row r="4" spans="1:28" s="6" customFormat="1" ht="33" hidden="1" x14ac:dyDescent="0.25">
      <c r="A4" s="1"/>
      <c r="B4" s="2"/>
      <c r="C4" s="3"/>
      <c r="D4" s="3"/>
      <c r="E4" s="3"/>
      <c r="F4" s="3"/>
      <c r="G4" s="4"/>
      <c r="H4" s="4"/>
      <c r="I4" s="7"/>
      <c r="J4" s="7"/>
      <c r="K4" s="7"/>
      <c r="L4" s="7"/>
      <c r="M4" s="8"/>
      <c r="N4" s="8"/>
      <c r="O4" s="8"/>
      <c r="P4" s="8"/>
      <c r="Q4" s="8"/>
      <c r="R4" s="8"/>
      <c r="S4" s="8"/>
      <c r="T4" s="8"/>
    </row>
    <row r="5" spans="1:28" s="6" customFormat="1" ht="9.75" customHeight="1" x14ac:dyDescent="0.25">
      <c r="A5" s="9"/>
      <c r="B5" s="10"/>
      <c r="C5" s="11"/>
    </row>
    <row r="6" spans="1:28" s="6" customFormat="1" ht="16.5" hidden="1" x14ac:dyDescent="0.25">
      <c r="A6" s="9"/>
      <c r="B6" s="10"/>
      <c r="C6" s="11"/>
    </row>
    <row r="7" spans="1:28" s="6" customFormat="1" ht="114.75" customHeight="1" x14ac:dyDescent="0.25">
      <c r="A7" s="171" t="s">
        <v>303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</row>
    <row r="8" spans="1:28" s="6" customFormat="1" ht="53.25" customHeight="1" x14ac:dyDescent="0.25">
      <c r="A8" s="173" t="s">
        <v>294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2"/>
      <c r="V8" s="12"/>
      <c r="W8" s="12"/>
      <c r="X8" s="12"/>
      <c r="Y8" s="12"/>
      <c r="Z8" s="12"/>
      <c r="AA8" s="12"/>
      <c r="AB8" s="12"/>
    </row>
    <row r="9" spans="1:28" s="6" customFormat="1" ht="30" customHeight="1" x14ac:dyDescent="0.5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</row>
    <row r="10" spans="1:28" s="6" customFormat="1" ht="5.25" customHeight="1" x14ac:dyDescent="0.3">
      <c r="A10" s="9"/>
      <c r="B10" s="10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28" s="15" customFormat="1" ht="16.5" customHeight="1" x14ac:dyDescent="0.25">
      <c r="A11" s="158" t="s">
        <v>4</v>
      </c>
      <c r="B11" s="159" t="s">
        <v>5</v>
      </c>
      <c r="C11" s="158" t="s">
        <v>6</v>
      </c>
      <c r="D11" s="166" t="s">
        <v>7</v>
      </c>
      <c r="E11" s="166"/>
      <c r="F11" s="87"/>
      <c r="G11" s="166" t="s">
        <v>8</v>
      </c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</row>
    <row r="12" spans="1:28" s="16" customFormat="1" ht="15.75" customHeight="1" x14ac:dyDescent="0.25">
      <c r="A12" s="158"/>
      <c r="B12" s="159"/>
      <c r="C12" s="158"/>
      <c r="D12" s="166"/>
      <c r="E12" s="166"/>
      <c r="F12" s="87"/>
      <c r="G12" s="165" t="s">
        <v>9</v>
      </c>
      <c r="H12" s="165"/>
      <c r="I12" s="158" t="s">
        <v>10</v>
      </c>
      <c r="J12" s="158"/>
      <c r="K12" s="158"/>
      <c r="L12" s="158"/>
      <c r="M12" s="158"/>
      <c r="N12" s="158"/>
      <c r="O12" s="158"/>
      <c r="P12" s="158"/>
      <c r="Q12" s="158"/>
      <c r="R12" s="158"/>
      <c r="S12" s="165" t="s">
        <v>11</v>
      </c>
      <c r="T12" s="165"/>
    </row>
    <row r="13" spans="1:28" s="17" customFormat="1" ht="73.5" customHeight="1" x14ac:dyDescent="0.25">
      <c r="A13" s="158"/>
      <c r="B13" s="159"/>
      <c r="C13" s="158"/>
      <c r="D13" s="166"/>
      <c r="E13" s="166"/>
      <c r="F13" s="87"/>
      <c r="G13" s="165"/>
      <c r="H13" s="165"/>
      <c r="I13" s="158" t="s">
        <v>12</v>
      </c>
      <c r="J13" s="158"/>
      <c r="K13" s="158" t="s">
        <v>13</v>
      </c>
      <c r="L13" s="158"/>
      <c r="M13" s="158" t="s">
        <v>14</v>
      </c>
      <c r="N13" s="158"/>
      <c r="O13" s="158" t="s">
        <v>15</v>
      </c>
      <c r="P13" s="158"/>
      <c r="Q13" s="158" t="s">
        <v>278</v>
      </c>
      <c r="R13" s="158"/>
      <c r="S13" s="165"/>
      <c r="T13" s="165"/>
    </row>
    <row r="14" spans="1:28" s="17" customFormat="1" ht="40.5" customHeight="1" x14ac:dyDescent="0.25">
      <c r="A14" s="158"/>
      <c r="B14" s="159"/>
      <c r="C14" s="158"/>
      <c r="D14" s="44" t="s">
        <v>295</v>
      </c>
      <c r="E14" s="44" t="s">
        <v>296</v>
      </c>
      <c r="F14" s="87"/>
      <c r="G14" s="45" t="s">
        <v>295</v>
      </c>
      <c r="H14" s="45" t="s">
        <v>296</v>
      </c>
      <c r="I14" s="45" t="s">
        <v>295</v>
      </c>
      <c r="J14" s="45" t="s">
        <v>296</v>
      </c>
      <c r="K14" s="45" t="s">
        <v>295</v>
      </c>
      <c r="L14" s="45" t="s">
        <v>296</v>
      </c>
      <c r="M14" s="45" t="s">
        <v>295</v>
      </c>
      <c r="N14" s="45" t="s">
        <v>296</v>
      </c>
      <c r="O14" s="45" t="s">
        <v>295</v>
      </c>
      <c r="P14" s="45" t="s">
        <v>296</v>
      </c>
      <c r="Q14" s="45" t="s">
        <v>295</v>
      </c>
      <c r="R14" s="45" t="s">
        <v>296</v>
      </c>
      <c r="S14" s="45" t="s">
        <v>295</v>
      </c>
      <c r="T14" s="45" t="s">
        <v>296</v>
      </c>
    </row>
    <row r="15" spans="1:28" s="18" customFormat="1" ht="20.25" x14ac:dyDescent="0.25">
      <c r="A15" s="168" t="s">
        <v>16</v>
      </c>
      <c r="B15" s="168"/>
      <c r="C15" s="46"/>
      <c r="D15" s="34">
        <f t="shared" ref="D15" si="0">SUM(D16+D20+D26+D27+D28+D29+D30)</f>
        <v>16644690.539999999</v>
      </c>
      <c r="E15" s="34">
        <f t="shared" ref="E15" si="1">SUM(E16+E20+E26+E27+E28+E29+E30)</f>
        <v>16644690.539999999</v>
      </c>
      <c r="F15" s="34"/>
      <c r="G15" s="34">
        <f t="shared" ref="G15" si="2">SUM(G16+G20+G26+G27+G28+G29+G30)</f>
        <v>0</v>
      </c>
      <c r="H15" s="34">
        <f t="shared" ref="H15" si="3">SUM(H16+H20+H26+H27+H28+H29+H30)</f>
        <v>0</v>
      </c>
      <c r="I15" s="34">
        <f t="shared" ref="I15:T15" si="4">SUM(I16+I20+I26+I27+I28+I29+I30)</f>
        <v>0</v>
      </c>
      <c r="J15" s="34">
        <f t="shared" si="4"/>
        <v>0</v>
      </c>
      <c r="K15" s="34">
        <f t="shared" si="4"/>
        <v>0</v>
      </c>
      <c r="L15" s="34">
        <f t="shared" si="4"/>
        <v>0</v>
      </c>
      <c r="M15" s="34">
        <f t="shared" si="4"/>
        <v>0</v>
      </c>
      <c r="N15" s="34">
        <f t="shared" si="4"/>
        <v>0</v>
      </c>
      <c r="O15" s="34">
        <f t="shared" si="4"/>
        <v>0</v>
      </c>
      <c r="P15" s="34">
        <f t="shared" si="4"/>
        <v>0</v>
      </c>
      <c r="Q15" s="34">
        <f t="shared" si="4"/>
        <v>245.78</v>
      </c>
      <c r="R15" s="34">
        <f t="shared" si="4"/>
        <v>245.78</v>
      </c>
      <c r="S15" s="34">
        <f t="shared" si="4"/>
        <v>16644444.76</v>
      </c>
      <c r="T15" s="34">
        <f t="shared" si="4"/>
        <v>16644444.76</v>
      </c>
    </row>
    <row r="16" spans="1:28" s="18" customFormat="1" ht="34.5" x14ac:dyDescent="0.25">
      <c r="A16" s="47" t="s">
        <v>17</v>
      </c>
      <c r="B16" s="48" t="s">
        <v>18</v>
      </c>
      <c r="C16" s="49"/>
      <c r="D16" s="43">
        <f>SUM('Школы БУ'!D16+'Школы АУ'!D16)</f>
        <v>0</v>
      </c>
      <c r="E16" s="43">
        <f>SUM('Школы БУ'!E16+'Школы АУ'!E16)</f>
        <v>0</v>
      </c>
      <c r="F16" s="43"/>
      <c r="G16" s="43">
        <f>SUM('Школы БУ'!G16+'Школы АУ'!G16)</f>
        <v>0</v>
      </c>
      <c r="H16" s="43">
        <f>SUM('Школы БУ'!H16+'Школы АУ'!H16)</f>
        <v>0</v>
      </c>
      <c r="I16" s="43">
        <f>SUM('Школы БУ'!I16+'Школы АУ'!I16)</f>
        <v>0</v>
      </c>
      <c r="J16" s="43"/>
      <c r="K16" s="43">
        <f>SUM('Школы БУ'!K16+'Школы АУ'!K16)</f>
        <v>0</v>
      </c>
      <c r="L16" s="43"/>
      <c r="M16" s="43">
        <f>SUM('Школы БУ'!M16+'Школы АУ'!M16)</f>
        <v>0</v>
      </c>
      <c r="N16" s="43"/>
      <c r="O16" s="43">
        <f>SUM('Школы БУ'!O16+'Школы АУ'!O16)</f>
        <v>0</v>
      </c>
      <c r="P16" s="43"/>
      <c r="Q16" s="43">
        <f>SUM('Школы БУ'!Q16+'Школы АУ'!Q16)</f>
        <v>0</v>
      </c>
      <c r="R16" s="43"/>
      <c r="S16" s="43">
        <f>SUM('Школы БУ'!S16+'Школы АУ'!S16)</f>
        <v>0</v>
      </c>
      <c r="T16" s="43">
        <f>SUM('Школы БУ'!T16+'Школы АУ'!T16)</f>
        <v>0</v>
      </c>
    </row>
    <row r="17" spans="1:20" s="6" customFormat="1" ht="16.5" x14ac:dyDescent="0.25">
      <c r="A17" s="50" t="s">
        <v>19</v>
      </c>
      <c r="B17" s="28" t="s">
        <v>20</v>
      </c>
      <c r="C17" s="51"/>
      <c r="D17" s="33">
        <f t="shared" ref="D17:D19" si="5">SUM(G17+I17+K17+M17+O17+Q17+S17)</f>
        <v>0</v>
      </c>
      <c r="E17" s="33">
        <f t="shared" ref="E17:E19" si="6">SUM(H17+J17+L17+N17+P17+R17+T17)</f>
        <v>0</v>
      </c>
      <c r="F17" s="33"/>
      <c r="G17" s="33">
        <f>SUM('Школы БУ'!G17+'Школы АУ'!G17)</f>
        <v>0</v>
      </c>
      <c r="H17" s="33">
        <f>SUM('Школы БУ'!H17+'Школы АУ'!H17)</f>
        <v>0</v>
      </c>
      <c r="I17" s="33">
        <f>SUM('Школы БУ'!I17+'Школы АУ'!I17)</f>
        <v>0</v>
      </c>
      <c r="J17" s="33">
        <f>SUM('Школы БУ'!J17+'Школы АУ'!J17)</f>
        <v>0</v>
      </c>
      <c r="K17" s="33">
        <f>SUM('Школы БУ'!K17+'Школы АУ'!K17)</f>
        <v>0</v>
      </c>
      <c r="L17" s="33">
        <f>SUM('Школы БУ'!L17+'Школы АУ'!L17)</f>
        <v>0</v>
      </c>
      <c r="M17" s="33">
        <f>SUM('Школы БУ'!M17+'Школы АУ'!M17)</f>
        <v>0</v>
      </c>
      <c r="N17" s="33">
        <f>SUM('Школы БУ'!N17+'Школы АУ'!N17)</f>
        <v>0</v>
      </c>
      <c r="O17" s="33">
        <f>SUM('Школы БУ'!O17+'Школы АУ'!O17)</f>
        <v>0</v>
      </c>
      <c r="P17" s="33">
        <f>SUM('Школы БУ'!P17+'Школы АУ'!P17)</f>
        <v>0</v>
      </c>
      <c r="Q17" s="33">
        <f>SUM('Школы БУ'!Q17+'Школы АУ'!Q17)</f>
        <v>0</v>
      </c>
      <c r="R17" s="33">
        <f>SUM('Школы БУ'!R17+'Школы АУ'!R17)</f>
        <v>0</v>
      </c>
      <c r="S17" s="33">
        <f>SUM('Школы БУ'!S17+'Школы АУ'!S17)</f>
        <v>0</v>
      </c>
      <c r="T17" s="33">
        <f>SUM('Школы БУ'!T17+'Школы АУ'!T17)</f>
        <v>0</v>
      </c>
    </row>
    <row r="18" spans="1:20" s="6" customFormat="1" ht="16.5" x14ac:dyDescent="0.25">
      <c r="A18" s="50" t="s">
        <v>21</v>
      </c>
      <c r="B18" s="28" t="s">
        <v>22</v>
      </c>
      <c r="C18" s="51"/>
      <c r="D18" s="33">
        <f t="shared" si="5"/>
        <v>0</v>
      </c>
      <c r="E18" s="33">
        <f t="shared" si="6"/>
        <v>0</v>
      </c>
      <c r="F18" s="33"/>
      <c r="G18" s="33">
        <f>SUM('Школы БУ'!G18+'Школы АУ'!G18)</f>
        <v>0</v>
      </c>
      <c r="H18" s="33">
        <f>SUM('Школы БУ'!H18+'Школы АУ'!H18)</f>
        <v>0</v>
      </c>
      <c r="I18" s="33">
        <f>SUM('Школы БУ'!I18+'Школы АУ'!I18)</f>
        <v>0</v>
      </c>
      <c r="J18" s="33">
        <f>SUM('Школы БУ'!J18+'Школы АУ'!J18)</f>
        <v>0</v>
      </c>
      <c r="K18" s="33">
        <f>SUM('Школы БУ'!K18+'Школы АУ'!K18)</f>
        <v>0</v>
      </c>
      <c r="L18" s="33">
        <f>SUM('Школы БУ'!L18+'Школы АУ'!L18)</f>
        <v>0</v>
      </c>
      <c r="M18" s="33">
        <f>SUM('Школы БУ'!M18+'Школы АУ'!M18)</f>
        <v>0</v>
      </c>
      <c r="N18" s="33">
        <f>SUM('Школы БУ'!N18+'Школы АУ'!N18)</f>
        <v>0</v>
      </c>
      <c r="O18" s="33">
        <f>SUM('Школы БУ'!O18+'Школы АУ'!O18)</f>
        <v>0</v>
      </c>
      <c r="P18" s="33">
        <f>SUM('Школы БУ'!P18+'Школы АУ'!P18)</f>
        <v>0</v>
      </c>
      <c r="Q18" s="33">
        <f>SUM('Школы БУ'!Q18+'Школы АУ'!Q18)</f>
        <v>0</v>
      </c>
      <c r="R18" s="33">
        <f>SUM('Школы БУ'!R18+'Школы АУ'!R18)</f>
        <v>0</v>
      </c>
      <c r="S18" s="33">
        <f>SUM('Школы БУ'!S18+'Школы АУ'!S18)</f>
        <v>0</v>
      </c>
      <c r="T18" s="33">
        <f>SUM('Школы БУ'!T18+'Школы АУ'!T18)</f>
        <v>0</v>
      </c>
    </row>
    <row r="19" spans="1:20" s="6" customFormat="1" ht="16.5" x14ac:dyDescent="0.25">
      <c r="A19" s="52" t="s">
        <v>23</v>
      </c>
      <c r="B19" s="28" t="s">
        <v>24</v>
      </c>
      <c r="C19" s="51"/>
      <c r="D19" s="33">
        <f t="shared" si="5"/>
        <v>0</v>
      </c>
      <c r="E19" s="33">
        <f t="shared" si="6"/>
        <v>0</v>
      </c>
      <c r="F19" s="33"/>
      <c r="G19" s="33">
        <f>SUM('Школы БУ'!G19+'Школы АУ'!G19)</f>
        <v>0</v>
      </c>
      <c r="H19" s="33">
        <f>SUM('Школы БУ'!H19+'Школы АУ'!H19)</f>
        <v>0</v>
      </c>
      <c r="I19" s="33">
        <f>SUM('Школы БУ'!I19+'Школы АУ'!I19)</f>
        <v>0</v>
      </c>
      <c r="J19" s="33">
        <f>SUM('Школы БУ'!J19+'Школы АУ'!J19)</f>
        <v>0</v>
      </c>
      <c r="K19" s="33">
        <f>SUM('Школы БУ'!K19+'Школы АУ'!K19)</f>
        <v>0</v>
      </c>
      <c r="L19" s="33">
        <f>SUM('Школы БУ'!L19+'Школы АУ'!L19)</f>
        <v>0</v>
      </c>
      <c r="M19" s="33">
        <f>SUM('Школы БУ'!M19+'Школы АУ'!M19)</f>
        <v>0</v>
      </c>
      <c r="N19" s="33">
        <f>SUM('Школы БУ'!N19+'Школы АУ'!N19)</f>
        <v>0</v>
      </c>
      <c r="O19" s="33">
        <f>SUM('Школы БУ'!O19+'Школы АУ'!O19)</f>
        <v>0</v>
      </c>
      <c r="P19" s="33">
        <f>SUM('Школы БУ'!P19+'Школы АУ'!P19)</f>
        <v>0</v>
      </c>
      <c r="Q19" s="33">
        <f>SUM('Школы БУ'!Q19+'Школы АУ'!Q19)</f>
        <v>0</v>
      </c>
      <c r="R19" s="33">
        <f>SUM('Школы БУ'!R19+'Школы АУ'!R19)</f>
        <v>0</v>
      </c>
      <c r="S19" s="33">
        <f>SUM('Школы БУ'!S19+'Школы АУ'!S19)</f>
        <v>0</v>
      </c>
      <c r="T19" s="33">
        <f>SUM('Школы БУ'!T19+'Школы АУ'!T19)</f>
        <v>0</v>
      </c>
    </row>
    <row r="20" spans="1:20" s="20" customFormat="1" ht="17.25" x14ac:dyDescent="0.25">
      <c r="A20" s="53" t="s">
        <v>25</v>
      </c>
      <c r="B20" s="48" t="s">
        <v>26</v>
      </c>
      <c r="C20" s="54"/>
      <c r="D20" s="25">
        <f t="shared" ref="D20:E20" si="7">SUM(D21:D25)</f>
        <v>245.78</v>
      </c>
      <c r="E20" s="25">
        <f t="shared" si="7"/>
        <v>245.78</v>
      </c>
      <c r="F20" s="25"/>
      <c r="G20" s="25">
        <f>SUM(G21:G25)</f>
        <v>0</v>
      </c>
      <c r="H20" s="25">
        <f t="shared" ref="H20:T20" si="8">SUM(H21:H25)</f>
        <v>0</v>
      </c>
      <c r="I20" s="25">
        <f t="shared" si="8"/>
        <v>0</v>
      </c>
      <c r="J20" s="25">
        <f t="shared" si="8"/>
        <v>0</v>
      </c>
      <c r="K20" s="25">
        <f t="shared" si="8"/>
        <v>0</v>
      </c>
      <c r="L20" s="25">
        <f t="shared" si="8"/>
        <v>0</v>
      </c>
      <c r="M20" s="25">
        <f t="shared" si="8"/>
        <v>0</v>
      </c>
      <c r="N20" s="25">
        <f t="shared" si="8"/>
        <v>0</v>
      </c>
      <c r="O20" s="25">
        <f t="shared" si="8"/>
        <v>0</v>
      </c>
      <c r="P20" s="25">
        <f t="shared" si="8"/>
        <v>0</v>
      </c>
      <c r="Q20" s="25">
        <f t="shared" si="8"/>
        <v>245.78</v>
      </c>
      <c r="R20" s="25">
        <f t="shared" si="8"/>
        <v>245.78</v>
      </c>
      <c r="S20" s="25">
        <f t="shared" si="8"/>
        <v>0</v>
      </c>
      <c r="T20" s="25">
        <f t="shared" si="8"/>
        <v>0</v>
      </c>
    </row>
    <row r="21" spans="1:20" s="22" customFormat="1" ht="49.5" x14ac:dyDescent="0.25">
      <c r="A21" s="50" t="s">
        <v>27</v>
      </c>
      <c r="B21" s="28" t="s">
        <v>28</v>
      </c>
      <c r="C21" s="55"/>
      <c r="D21" s="33">
        <f t="shared" ref="D21:D83" si="9">SUM(G21+I21+K21+M21+O21+Q21+S21)</f>
        <v>245.78</v>
      </c>
      <c r="E21" s="33">
        <f t="shared" ref="E21:E83" si="10">SUM(H21+J21+L21+N21+P21+R21+T21)</f>
        <v>245.78</v>
      </c>
      <c r="F21" s="33"/>
      <c r="G21" s="33">
        <f>SUM('Школы БУ'!G21+'Школы АУ'!G21)</f>
        <v>0</v>
      </c>
      <c r="H21" s="33">
        <f>SUM('Школы БУ'!H21+'Школы АУ'!H21)</f>
        <v>0</v>
      </c>
      <c r="I21" s="33">
        <f>SUM('Школы БУ'!I21+'Школы АУ'!I21)</f>
        <v>0</v>
      </c>
      <c r="J21" s="33">
        <f>SUM('Школы БУ'!J21+'Школы АУ'!J21)</f>
        <v>0</v>
      </c>
      <c r="K21" s="33">
        <f>SUM('Школы БУ'!K21+'Школы АУ'!K21)</f>
        <v>0</v>
      </c>
      <c r="L21" s="33">
        <f>SUM('Школы БУ'!L21+'Школы АУ'!L21)</f>
        <v>0</v>
      </c>
      <c r="M21" s="33">
        <f>SUM('Школы БУ'!M21+'Школы АУ'!M21)</f>
        <v>0</v>
      </c>
      <c r="N21" s="33">
        <f>SUM('Школы БУ'!N21+'Школы АУ'!N21)</f>
        <v>0</v>
      </c>
      <c r="O21" s="33">
        <f>SUM('Школы БУ'!O21+'Школы АУ'!O21)</f>
        <v>0</v>
      </c>
      <c r="P21" s="33">
        <f>SUM('Школы БУ'!P21+'Школы АУ'!P21)</f>
        <v>0</v>
      </c>
      <c r="Q21" s="33">
        <f>SUM('Школы БУ'!Q21+'Школы АУ'!Q21)</f>
        <v>245.78</v>
      </c>
      <c r="R21" s="33">
        <f>SUM('Школы БУ'!R21+'Школы АУ'!R21)</f>
        <v>245.78</v>
      </c>
      <c r="S21" s="33">
        <f>SUM('Школы БУ'!S21+'Школы АУ'!S21)</f>
        <v>0</v>
      </c>
      <c r="T21" s="33">
        <f>SUM('Школы БУ'!T21+'Школы АУ'!T21)</f>
        <v>0</v>
      </c>
    </row>
    <row r="22" spans="1:20" s="22" customFormat="1" ht="33" x14ac:dyDescent="0.25">
      <c r="A22" s="50" t="s">
        <v>29</v>
      </c>
      <c r="B22" s="28" t="s">
        <v>30</v>
      </c>
      <c r="C22" s="55"/>
      <c r="D22" s="33">
        <f t="shared" si="9"/>
        <v>0</v>
      </c>
      <c r="E22" s="33">
        <f t="shared" si="10"/>
        <v>0</v>
      </c>
      <c r="F22" s="33"/>
      <c r="G22" s="33">
        <f>SUM('Школы БУ'!G22+'Школы АУ'!G22)</f>
        <v>0</v>
      </c>
      <c r="H22" s="33">
        <f>SUM('Школы БУ'!H22+'Школы АУ'!H22)</f>
        <v>0</v>
      </c>
      <c r="I22" s="33">
        <f>SUM('Школы БУ'!I22+'Школы АУ'!I22)</f>
        <v>0</v>
      </c>
      <c r="J22" s="33">
        <f>SUM('Школы БУ'!J22+'Школы АУ'!J22)</f>
        <v>0</v>
      </c>
      <c r="K22" s="33">
        <f>SUM('Школы БУ'!K22+'Школы АУ'!K22)</f>
        <v>0</v>
      </c>
      <c r="L22" s="33">
        <f>SUM('Школы БУ'!L22+'Школы АУ'!L22)</f>
        <v>0</v>
      </c>
      <c r="M22" s="33">
        <f>SUM('Школы БУ'!M22+'Школы АУ'!M22)</f>
        <v>0</v>
      </c>
      <c r="N22" s="33">
        <f>SUM('Школы БУ'!N22+'Школы АУ'!N22)</f>
        <v>0</v>
      </c>
      <c r="O22" s="33">
        <f>SUM('Школы БУ'!O22+'Школы АУ'!O22)</f>
        <v>0</v>
      </c>
      <c r="P22" s="33">
        <f>SUM('Школы БУ'!P22+'Школы АУ'!P22)</f>
        <v>0</v>
      </c>
      <c r="Q22" s="33">
        <f>SUM('Школы БУ'!Q22+'Школы АУ'!Q22)</f>
        <v>0</v>
      </c>
      <c r="R22" s="33">
        <f>SUM('Школы БУ'!R22+'Школы АУ'!R22)</f>
        <v>0</v>
      </c>
      <c r="S22" s="33">
        <f>SUM('Школы БУ'!S22+'Школы АУ'!S22)</f>
        <v>0</v>
      </c>
      <c r="T22" s="33">
        <f>SUM('Школы БУ'!T22+'Школы АУ'!T22)</f>
        <v>0</v>
      </c>
    </row>
    <row r="23" spans="1:20" s="22" customFormat="1" ht="48" x14ac:dyDescent="0.25">
      <c r="A23" s="50" t="s">
        <v>31</v>
      </c>
      <c r="B23" s="28" t="s">
        <v>32</v>
      </c>
      <c r="C23" s="55"/>
      <c r="D23" s="33">
        <f t="shared" si="9"/>
        <v>0</v>
      </c>
      <c r="E23" s="33">
        <f t="shared" si="10"/>
        <v>0</v>
      </c>
      <c r="F23" s="33"/>
      <c r="G23" s="33">
        <f>SUM('Школы БУ'!G23+'Школы АУ'!G23)</f>
        <v>0</v>
      </c>
      <c r="H23" s="33">
        <f>SUM('Школы БУ'!H23+'Школы АУ'!H23)</f>
        <v>0</v>
      </c>
      <c r="I23" s="33">
        <f>SUM('Школы БУ'!I23+'Школы АУ'!I23)</f>
        <v>0</v>
      </c>
      <c r="J23" s="33">
        <f>SUM('Школы БУ'!J23+'Школы АУ'!J23)</f>
        <v>0</v>
      </c>
      <c r="K23" s="33">
        <f>SUM('Школы БУ'!K23+'Школы АУ'!K23)</f>
        <v>0</v>
      </c>
      <c r="L23" s="33">
        <f>SUM('Школы БУ'!L23+'Школы АУ'!L23)</f>
        <v>0</v>
      </c>
      <c r="M23" s="33">
        <f>SUM('Школы БУ'!M23+'Школы АУ'!M23)</f>
        <v>0</v>
      </c>
      <c r="N23" s="33">
        <f>SUM('Школы БУ'!N23+'Школы АУ'!N23)</f>
        <v>0</v>
      </c>
      <c r="O23" s="33">
        <f>SUM('Школы БУ'!O23+'Школы АУ'!O23)</f>
        <v>0</v>
      </c>
      <c r="P23" s="33">
        <f>SUM('Школы БУ'!P23+'Школы АУ'!P23)</f>
        <v>0</v>
      </c>
      <c r="Q23" s="33">
        <f>SUM('Школы БУ'!Q23+'Школы АУ'!Q23)</f>
        <v>0</v>
      </c>
      <c r="R23" s="33">
        <f>SUM('Школы БУ'!R23+'Школы АУ'!R23)</f>
        <v>0</v>
      </c>
      <c r="S23" s="33">
        <f>SUM('Школы БУ'!S23+'Школы АУ'!S23)</f>
        <v>0</v>
      </c>
      <c r="T23" s="33">
        <f>SUM('Школы БУ'!T23+'Школы АУ'!T23)</f>
        <v>0</v>
      </c>
    </row>
    <row r="24" spans="1:20" s="22" customFormat="1" ht="33" hidden="1" x14ac:dyDescent="0.25">
      <c r="A24" s="50" t="s">
        <v>33</v>
      </c>
      <c r="B24" s="28" t="s">
        <v>34</v>
      </c>
      <c r="C24" s="55"/>
      <c r="D24" s="33">
        <f t="shared" si="9"/>
        <v>0</v>
      </c>
      <c r="E24" s="33">
        <f t="shared" si="10"/>
        <v>0</v>
      </c>
      <c r="F24" s="33"/>
      <c r="G24" s="33">
        <f>SUM('Школы БУ'!G24+'Школы АУ'!G24)</f>
        <v>0</v>
      </c>
      <c r="H24" s="33"/>
      <c r="I24" s="33">
        <f>SUM('Школы БУ'!I24+'Школы АУ'!I24)</f>
        <v>0</v>
      </c>
      <c r="J24" s="33"/>
      <c r="K24" s="33">
        <f>SUM('Школы БУ'!K24+'Школы АУ'!K24)</f>
        <v>0</v>
      </c>
      <c r="L24" s="33"/>
      <c r="M24" s="33">
        <f>SUM('Школы БУ'!M24+'Школы АУ'!M24)</f>
        <v>0</v>
      </c>
      <c r="N24" s="33"/>
      <c r="O24" s="33">
        <f>SUM('Школы БУ'!O24+'Школы АУ'!O24)</f>
        <v>0</v>
      </c>
      <c r="P24" s="33"/>
      <c r="Q24" s="33">
        <f>SUM('Школы БУ'!Q24+'Школы АУ'!Q24)</f>
        <v>0</v>
      </c>
      <c r="R24" s="33"/>
      <c r="S24" s="33">
        <f>SUM('Школы БУ'!S24+'Школы АУ'!S24)</f>
        <v>0</v>
      </c>
      <c r="T24" s="33">
        <f>SUM('Школы БУ'!T24+'Школы АУ'!T24)</f>
        <v>0</v>
      </c>
    </row>
    <row r="25" spans="1:20" s="22" customFormat="1" ht="49.5" hidden="1" x14ac:dyDescent="0.25">
      <c r="A25" s="50" t="s">
        <v>35</v>
      </c>
      <c r="B25" s="28" t="s">
        <v>36</v>
      </c>
      <c r="C25" s="55"/>
      <c r="D25" s="33">
        <f t="shared" si="9"/>
        <v>0</v>
      </c>
      <c r="E25" s="33">
        <f t="shared" si="10"/>
        <v>0</v>
      </c>
      <c r="F25" s="33"/>
      <c r="G25" s="33">
        <f>SUM('Школы БУ'!G25+'Школы АУ'!G25)</f>
        <v>0</v>
      </c>
      <c r="H25" s="33"/>
      <c r="I25" s="33">
        <f>SUM('Школы БУ'!I25+'Школы АУ'!I25)</f>
        <v>0</v>
      </c>
      <c r="J25" s="33"/>
      <c r="K25" s="33">
        <f>SUM('Школы БУ'!K25+'Школы АУ'!K25)</f>
        <v>0</v>
      </c>
      <c r="L25" s="33"/>
      <c r="M25" s="33">
        <f>SUM('Школы БУ'!M25+'Школы АУ'!M25)</f>
        <v>0</v>
      </c>
      <c r="N25" s="33"/>
      <c r="O25" s="33">
        <f>SUM('Школы БУ'!O25+'Школы АУ'!O25)</f>
        <v>0</v>
      </c>
      <c r="P25" s="33"/>
      <c r="Q25" s="33">
        <f>SUM('Школы БУ'!Q25+'Школы АУ'!Q25)</f>
        <v>0</v>
      </c>
      <c r="R25" s="33"/>
      <c r="S25" s="33">
        <f>SUM('Школы БУ'!S25+'Школы АУ'!S25)</f>
        <v>0</v>
      </c>
      <c r="T25" s="33">
        <f>SUM('Школы БУ'!T25+'Школы АУ'!T25)</f>
        <v>0</v>
      </c>
    </row>
    <row r="26" spans="1:20" s="24" customFormat="1" ht="17.25" x14ac:dyDescent="0.25">
      <c r="A26" s="56">
        <v>3</v>
      </c>
      <c r="B26" s="48" t="s">
        <v>37</v>
      </c>
      <c r="C26" s="54"/>
      <c r="D26" s="33">
        <f t="shared" si="9"/>
        <v>0</v>
      </c>
      <c r="E26" s="33">
        <f t="shared" si="10"/>
        <v>0</v>
      </c>
      <c r="F26" s="33"/>
      <c r="G26" s="33">
        <f>SUM('Школы БУ'!G26+'Школы АУ'!G26)</f>
        <v>0</v>
      </c>
      <c r="H26" s="33">
        <f>SUM('Школы БУ'!H26+'Школы АУ'!H26)</f>
        <v>0</v>
      </c>
      <c r="I26" s="33">
        <f>SUM('Школы БУ'!I26+'Школы АУ'!I26)</f>
        <v>0</v>
      </c>
      <c r="J26" s="33">
        <f>SUM('Школы БУ'!J26+'Школы АУ'!J26)</f>
        <v>0</v>
      </c>
      <c r="K26" s="33">
        <f>SUM('Школы БУ'!K26+'Школы АУ'!K26)</f>
        <v>0</v>
      </c>
      <c r="L26" s="33">
        <f>SUM('Школы БУ'!L26+'Школы АУ'!L26)</f>
        <v>0</v>
      </c>
      <c r="M26" s="33">
        <f>SUM('Школы БУ'!M26+'Школы АУ'!M26)</f>
        <v>0</v>
      </c>
      <c r="N26" s="33">
        <f>SUM('Школы БУ'!N26+'Школы АУ'!N26)</f>
        <v>0</v>
      </c>
      <c r="O26" s="33">
        <f>SUM('Школы БУ'!O26+'Школы АУ'!O26)</f>
        <v>0</v>
      </c>
      <c r="P26" s="33">
        <f>SUM('Школы БУ'!P26+'Школы АУ'!P26)</f>
        <v>0</v>
      </c>
      <c r="Q26" s="33">
        <f>SUM('Школы БУ'!Q26+'Школы АУ'!Q26)</f>
        <v>0</v>
      </c>
      <c r="R26" s="33">
        <f>SUM('Школы БУ'!R26+'Школы АУ'!R26)</f>
        <v>0</v>
      </c>
      <c r="S26" s="33">
        <f>SUM('Школы БУ'!S26+'Школы АУ'!S26)</f>
        <v>0</v>
      </c>
      <c r="T26" s="33">
        <f>SUM('Школы БУ'!T26+'Школы АУ'!T26)</f>
        <v>0</v>
      </c>
    </row>
    <row r="27" spans="1:20" s="20" customFormat="1" ht="17.25" x14ac:dyDescent="0.25">
      <c r="A27" s="53">
        <v>4</v>
      </c>
      <c r="B27" s="48" t="s">
        <v>38</v>
      </c>
      <c r="C27" s="54"/>
      <c r="D27" s="33">
        <f t="shared" si="9"/>
        <v>12604753.43</v>
      </c>
      <c r="E27" s="33">
        <f t="shared" si="10"/>
        <v>12604753.43</v>
      </c>
      <c r="F27" s="33"/>
      <c r="G27" s="33">
        <f>SUM('Школы БУ'!G27+'Школы АУ'!G27)</f>
        <v>0</v>
      </c>
      <c r="H27" s="33">
        <f>SUM('Школы БУ'!H27+'Школы АУ'!H27)</f>
        <v>0</v>
      </c>
      <c r="I27" s="33">
        <f>SUM('Школы БУ'!I27+'Школы АУ'!I27)</f>
        <v>0</v>
      </c>
      <c r="J27" s="33">
        <f>SUM('Школы БУ'!J27+'Школы АУ'!J27)</f>
        <v>0</v>
      </c>
      <c r="K27" s="33">
        <f>SUM('Школы БУ'!K27+'Школы АУ'!K27)</f>
        <v>0</v>
      </c>
      <c r="L27" s="33">
        <f>SUM('Школы БУ'!L27+'Школы АУ'!L27)</f>
        <v>0</v>
      </c>
      <c r="M27" s="33">
        <f>SUM('Школы БУ'!M27+'Школы АУ'!M27)</f>
        <v>0</v>
      </c>
      <c r="N27" s="33">
        <f>SUM('Школы БУ'!N27+'Школы АУ'!N27)</f>
        <v>0</v>
      </c>
      <c r="O27" s="33">
        <f>SUM('Школы БУ'!O27+'Школы АУ'!O27)</f>
        <v>0</v>
      </c>
      <c r="P27" s="33">
        <f>SUM('Школы БУ'!P27+'Школы АУ'!P27)</f>
        <v>0</v>
      </c>
      <c r="Q27" s="33">
        <f>SUM('Школы БУ'!Q27+'Школы АУ'!Q27)</f>
        <v>0</v>
      </c>
      <c r="R27" s="33">
        <f>SUM('Школы БУ'!R27+'Школы АУ'!R27)</f>
        <v>0</v>
      </c>
      <c r="S27" s="33">
        <f>SUM('Школы БУ'!S27+'Школы АУ'!S27)</f>
        <v>12604753.43</v>
      </c>
      <c r="T27" s="33">
        <f>SUM('Школы БУ'!T27+'Школы АУ'!T27)</f>
        <v>12604753.43</v>
      </c>
    </row>
    <row r="28" spans="1:20" s="20" customFormat="1" ht="17.25" x14ac:dyDescent="0.25">
      <c r="A28" s="53">
        <v>5</v>
      </c>
      <c r="B28" s="48" t="s">
        <v>39</v>
      </c>
      <c r="C28" s="54"/>
      <c r="D28" s="33">
        <f t="shared" si="9"/>
        <v>1014351.73</v>
      </c>
      <c r="E28" s="33">
        <f t="shared" si="10"/>
        <v>1014351.73</v>
      </c>
      <c r="F28" s="33"/>
      <c r="G28" s="33">
        <f>SUM('Школы БУ'!G28+'Школы АУ'!G28)</f>
        <v>0</v>
      </c>
      <c r="H28" s="33">
        <f>SUM('Школы БУ'!H28+'Школы АУ'!H28)</f>
        <v>0</v>
      </c>
      <c r="I28" s="33">
        <f>SUM('Школы БУ'!I28+'Школы АУ'!I28)</f>
        <v>0</v>
      </c>
      <c r="J28" s="33">
        <f>SUM('Школы БУ'!J28+'Школы АУ'!J28)</f>
        <v>0</v>
      </c>
      <c r="K28" s="33">
        <f>SUM('Школы БУ'!K28+'Школы АУ'!K28)</f>
        <v>0</v>
      </c>
      <c r="L28" s="33">
        <f>SUM('Школы БУ'!L28+'Школы АУ'!L28)</f>
        <v>0</v>
      </c>
      <c r="M28" s="33">
        <f>SUM('Школы БУ'!M28+'Школы АУ'!M28)</f>
        <v>0</v>
      </c>
      <c r="N28" s="33">
        <f>SUM('Школы БУ'!N28+'Школы АУ'!N28)</f>
        <v>0</v>
      </c>
      <c r="O28" s="33">
        <f>SUM('Школы БУ'!O28+'Школы АУ'!O28)</f>
        <v>0</v>
      </c>
      <c r="P28" s="33">
        <f>SUM('Школы БУ'!P28+'Школы АУ'!P28)</f>
        <v>0</v>
      </c>
      <c r="Q28" s="33">
        <f>SUM('Школы БУ'!Q28+'Школы АУ'!Q28)</f>
        <v>0</v>
      </c>
      <c r="R28" s="33">
        <f>SUM('Школы БУ'!R28+'Школы АУ'!R28)</f>
        <v>0</v>
      </c>
      <c r="S28" s="33">
        <f>SUM('Школы БУ'!S28+'Школы АУ'!S28)</f>
        <v>1014351.73</v>
      </c>
      <c r="T28" s="33">
        <f>SUM('Школы БУ'!T28+'Школы АУ'!T28)</f>
        <v>1014351.73</v>
      </c>
    </row>
    <row r="29" spans="1:20" s="20" customFormat="1" ht="17.25" x14ac:dyDescent="0.25">
      <c r="A29" s="53">
        <v>6</v>
      </c>
      <c r="B29" s="48" t="s">
        <v>40</v>
      </c>
      <c r="C29" s="54"/>
      <c r="D29" s="33">
        <f t="shared" si="9"/>
        <v>274733.75</v>
      </c>
      <c r="E29" s="33">
        <f t="shared" si="10"/>
        <v>274733.75</v>
      </c>
      <c r="F29" s="33"/>
      <c r="G29" s="33">
        <f>SUM('Школы БУ'!G29+'Школы АУ'!G29)</f>
        <v>0</v>
      </c>
      <c r="H29" s="33">
        <f>SUM('Школы БУ'!H29+'Школы АУ'!H29)</f>
        <v>0</v>
      </c>
      <c r="I29" s="33">
        <f>SUM('Школы БУ'!I29+'Школы АУ'!I29)</f>
        <v>0</v>
      </c>
      <c r="J29" s="33">
        <f>SUM('Школы БУ'!J29+'Школы АУ'!J29)</f>
        <v>0</v>
      </c>
      <c r="K29" s="33">
        <f>SUM('Школы БУ'!K29+'Школы АУ'!K29)</f>
        <v>0</v>
      </c>
      <c r="L29" s="33">
        <f>SUM('Школы БУ'!L29+'Школы АУ'!L29)</f>
        <v>0</v>
      </c>
      <c r="M29" s="33">
        <f>SUM('Школы БУ'!M29+'Школы АУ'!M29)</f>
        <v>0</v>
      </c>
      <c r="N29" s="33">
        <f>SUM('Школы БУ'!N29+'Школы АУ'!N29)</f>
        <v>0</v>
      </c>
      <c r="O29" s="33">
        <f>SUM('Школы БУ'!O29+'Школы АУ'!O29)</f>
        <v>0</v>
      </c>
      <c r="P29" s="33">
        <f>SUM('Школы БУ'!P29+'Школы АУ'!P29)</f>
        <v>0</v>
      </c>
      <c r="Q29" s="33">
        <f>SUM('Школы БУ'!Q29+'Школы АУ'!Q29)</f>
        <v>0</v>
      </c>
      <c r="R29" s="33">
        <f>SUM('Школы БУ'!R29+'Школы АУ'!R29)</f>
        <v>0</v>
      </c>
      <c r="S29" s="33">
        <f>SUM('Школы БУ'!S29+'Школы АУ'!S29)</f>
        <v>274733.75</v>
      </c>
      <c r="T29" s="33">
        <f>SUM('Школы БУ'!T29+'Школы АУ'!T29)</f>
        <v>274733.75</v>
      </c>
    </row>
    <row r="30" spans="1:20" s="20" customFormat="1" ht="17.25" x14ac:dyDescent="0.25">
      <c r="A30" s="53">
        <v>7</v>
      </c>
      <c r="B30" s="48" t="s">
        <v>41</v>
      </c>
      <c r="C30" s="54"/>
      <c r="D30" s="33">
        <f t="shared" si="9"/>
        <v>2750605.85</v>
      </c>
      <c r="E30" s="33">
        <f t="shared" si="10"/>
        <v>2750605.85</v>
      </c>
      <c r="F30" s="33"/>
      <c r="G30" s="33">
        <f>SUM('Школы БУ'!G30+'Школы АУ'!G30)</f>
        <v>0</v>
      </c>
      <c r="H30" s="33">
        <f>SUM('Школы БУ'!H30+'Школы АУ'!H30)</f>
        <v>0</v>
      </c>
      <c r="I30" s="33">
        <f>SUM('Школы БУ'!I30+'Школы АУ'!I30)</f>
        <v>0</v>
      </c>
      <c r="J30" s="33">
        <f>SUM('Школы БУ'!J30+'Школы АУ'!J30)</f>
        <v>0</v>
      </c>
      <c r="K30" s="33">
        <f>SUM('Школы БУ'!K30+'Школы АУ'!K30)</f>
        <v>0</v>
      </c>
      <c r="L30" s="33">
        <f>SUM('Школы БУ'!L30+'Школы АУ'!L30)</f>
        <v>0</v>
      </c>
      <c r="M30" s="33">
        <f>SUM('Школы БУ'!M30+'Школы АУ'!M30)</f>
        <v>0</v>
      </c>
      <c r="N30" s="33">
        <f>SUM('Школы БУ'!N30+'Школы АУ'!N30)</f>
        <v>0</v>
      </c>
      <c r="O30" s="33">
        <f>SUM('Школы БУ'!O30+'Школы АУ'!O30)</f>
        <v>0</v>
      </c>
      <c r="P30" s="33">
        <f>SUM('Школы БУ'!P30+'Школы АУ'!P30)</f>
        <v>0</v>
      </c>
      <c r="Q30" s="33">
        <f>SUM('Школы БУ'!Q30+'Школы АУ'!Q30)</f>
        <v>0</v>
      </c>
      <c r="R30" s="33">
        <f>SUM('Школы БУ'!R30+'Школы АУ'!R30)</f>
        <v>0</v>
      </c>
      <c r="S30" s="33">
        <f>SUM('Школы БУ'!S30+'Школы АУ'!S30)</f>
        <v>2750605.85</v>
      </c>
      <c r="T30" s="33">
        <f>SUM('Школы БУ'!T30+'Школы АУ'!T30)</f>
        <v>2750605.85</v>
      </c>
    </row>
    <row r="31" spans="1:20" s="20" customFormat="1" ht="20.25" x14ac:dyDescent="0.25">
      <c r="A31" s="163" t="s">
        <v>42</v>
      </c>
      <c r="B31" s="163"/>
      <c r="C31" s="25"/>
      <c r="D31" s="25">
        <f t="shared" ref="D31:H31" si="11">SUM(D32+D36+D42+D43+D44+D45+D46)</f>
        <v>3386617108.3800001</v>
      </c>
      <c r="E31" s="25">
        <f t="shared" si="11"/>
        <v>1115464204.76</v>
      </c>
      <c r="F31" s="25"/>
      <c r="G31" s="25">
        <f t="shared" si="11"/>
        <v>618760812.78999996</v>
      </c>
      <c r="H31" s="25">
        <f t="shared" si="11"/>
        <v>215597400.19999999</v>
      </c>
      <c r="I31" s="25">
        <f t="shared" ref="I31:T31" si="12">SUM(I32+I36+I42+I43+I44+I45+I46)</f>
        <v>2550529240</v>
      </c>
      <c r="J31" s="25">
        <f t="shared" si="12"/>
        <v>808170000</v>
      </c>
      <c r="K31" s="25">
        <f t="shared" si="12"/>
        <v>7055664</v>
      </c>
      <c r="L31" s="25">
        <f t="shared" si="12"/>
        <v>1567000</v>
      </c>
      <c r="M31" s="25">
        <f t="shared" si="12"/>
        <v>2673520</v>
      </c>
      <c r="N31" s="25">
        <f t="shared" si="12"/>
        <v>1787400</v>
      </c>
      <c r="O31" s="25">
        <f t="shared" si="12"/>
        <v>25455480</v>
      </c>
      <c r="P31" s="25">
        <f t="shared" si="12"/>
        <v>9863000</v>
      </c>
      <c r="Q31" s="25">
        <f t="shared" si="12"/>
        <v>176776.31</v>
      </c>
      <c r="R31" s="25">
        <f t="shared" si="12"/>
        <v>0</v>
      </c>
      <c r="S31" s="25">
        <f t="shared" si="12"/>
        <v>181965615.28</v>
      </c>
      <c r="T31" s="25">
        <f t="shared" si="12"/>
        <v>78479404.560000002</v>
      </c>
    </row>
    <row r="32" spans="1:20" s="24" customFormat="1" ht="34.5" x14ac:dyDescent="0.25">
      <c r="A32" s="56" t="s">
        <v>17</v>
      </c>
      <c r="B32" s="48" t="s">
        <v>18</v>
      </c>
      <c r="C32" s="25"/>
      <c r="D32" s="25">
        <f t="shared" ref="D32:H32" si="13">SUM(D33:D35)</f>
        <v>2933782767.8499999</v>
      </c>
      <c r="E32" s="25">
        <f t="shared" si="13"/>
        <v>985002613</v>
      </c>
      <c r="F32" s="25"/>
      <c r="G32" s="25">
        <f t="shared" si="13"/>
        <v>348068863.85000002</v>
      </c>
      <c r="H32" s="25">
        <f t="shared" si="13"/>
        <v>163615213</v>
      </c>
      <c r="I32" s="25">
        <f t="shared" ref="I32" si="14">SUM(I33:I35)</f>
        <v>2550529240</v>
      </c>
      <c r="J32" s="25">
        <f t="shared" ref="J32" si="15">SUM(J33:J35)</f>
        <v>808170000</v>
      </c>
      <c r="K32" s="25">
        <f t="shared" ref="K32" si="16">SUM(K33:K35)</f>
        <v>7055664</v>
      </c>
      <c r="L32" s="25">
        <f t="shared" ref="L32" si="17">SUM(L33:L35)</f>
        <v>1567000</v>
      </c>
      <c r="M32" s="25">
        <f t="shared" ref="M32" si="18">SUM(M33:M35)</f>
        <v>2673520</v>
      </c>
      <c r="N32" s="25">
        <f t="shared" ref="N32" si="19">SUM(N33:N35)</f>
        <v>1787400</v>
      </c>
      <c r="O32" s="25">
        <f t="shared" ref="O32" si="20">SUM(O33:O35)</f>
        <v>25455480</v>
      </c>
      <c r="P32" s="25">
        <f t="shared" ref="P32" si="21">SUM(P33:P35)</f>
        <v>9863000</v>
      </c>
      <c r="Q32" s="25">
        <f t="shared" ref="Q32" si="22">SUM(Q33:Q35)</f>
        <v>0</v>
      </c>
      <c r="R32" s="25">
        <f t="shared" ref="R32" si="23">SUM(R33:R35)</f>
        <v>0</v>
      </c>
      <c r="S32" s="25">
        <f t="shared" ref="S32" si="24">SUM(S33:S35)</f>
        <v>0</v>
      </c>
      <c r="T32" s="25">
        <f t="shared" ref="T32" si="25">SUM(T33:T35)</f>
        <v>0</v>
      </c>
    </row>
    <row r="33" spans="1:43" s="22" customFormat="1" ht="16.5" x14ac:dyDescent="0.25">
      <c r="A33" s="50" t="s">
        <v>19</v>
      </c>
      <c r="B33" s="28" t="s">
        <v>20</v>
      </c>
      <c r="C33" s="55"/>
      <c r="D33" s="33">
        <f t="shared" si="9"/>
        <v>2862640737.8499999</v>
      </c>
      <c r="E33" s="33">
        <f t="shared" si="10"/>
        <v>951747548</v>
      </c>
      <c r="F33" s="33"/>
      <c r="G33" s="33">
        <f>SUM('Школы БУ'!G33+'Школы АУ'!G33)</f>
        <v>276926833.85000002</v>
      </c>
      <c r="H33" s="33">
        <f>SUM('Школы БУ'!H33+'Школы АУ'!H33)</f>
        <v>130360148</v>
      </c>
      <c r="I33" s="33">
        <f>SUM('Школы БУ'!I33+'Школы АУ'!I33)</f>
        <v>2550529240</v>
      </c>
      <c r="J33" s="33">
        <f>SUM('Школы БУ'!J33+'Школы АУ'!J33)</f>
        <v>808170000</v>
      </c>
      <c r="K33" s="33">
        <f>SUM('Школы БУ'!K33+'Школы АУ'!K33)</f>
        <v>7055664</v>
      </c>
      <c r="L33" s="33">
        <f>SUM('Школы БУ'!L33+'Школы АУ'!L33)</f>
        <v>1567000</v>
      </c>
      <c r="M33" s="33">
        <f>SUM('Школы БУ'!M33+'Школы АУ'!M33)</f>
        <v>2673520</v>
      </c>
      <c r="N33" s="33">
        <f>SUM('Школы БУ'!N33+'Школы АУ'!N33)</f>
        <v>1787400</v>
      </c>
      <c r="O33" s="33">
        <f>SUM('Школы БУ'!O33+'Школы АУ'!O33)</f>
        <v>25455480</v>
      </c>
      <c r="P33" s="33">
        <f>SUM('Школы БУ'!P33+'Школы АУ'!P33)</f>
        <v>9863000</v>
      </c>
      <c r="Q33" s="33">
        <f>SUM('Школы БУ'!Q33+'Школы АУ'!Q33)</f>
        <v>0</v>
      </c>
      <c r="R33" s="33">
        <f>SUM('Школы БУ'!R33+'Школы АУ'!R33)</f>
        <v>0</v>
      </c>
      <c r="S33" s="33">
        <f>SUM('Школы БУ'!S33+'Школы АУ'!S33)</f>
        <v>0</v>
      </c>
      <c r="T33" s="33">
        <f>SUM('Школы БУ'!T33+'Школы АУ'!T33)</f>
        <v>0</v>
      </c>
    </row>
    <row r="34" spans="1:43" s="22" customFormat="1" ht="16.5" x14ac:dyDescent="0.25">
      <c r="A34" s="50" t="s">
        <v>21</v>
      </c>
      <c r="B34" s="28" t="s">
        <v>22</v>
      </c>
      <c r="C34" s="55"/>
      <c r="D34" s="33">
        <f t="shared" si="9"/>
        <v>71142030</v>
      </c>
      <c r="E34" s="33">
        <f t="shared" si="10"/>
        <v>33255065</v>
      </c>
      <c r="F34" s="33"/>
      <c r="G34" s="33">
        <f>SUM('Школы БУ'!G34+'Школы АУ'!G34)</f>
        <v>71142030</v>
      </c>
      <c r="H34" s="33">
        <f>SUM('Школы БУ'!H34+'Школы АУ'!H34)</f>
        <v>33255065</v>
      </c>
      <c r="I34" s="33">
        <f>SUM('Школы БУ'!I34+'Школы АУ'!I34)</f>
        <v>0</v>
      </c>
      <c r="J34" s="33">
        <f>SUM('Школы БУ'!J34+'Школы АУ'!J34)</f>
        <v>0</v>
      </c>
      <c r="K34" s="33">
        <f>SUM('Школы БУ'!K34+'Школы АУ'!K34)</f>
        <v>0</v>
      </c>
      <c r="L34" s="33">
        <f>SUM('Школы БУ'!L34+'Школы АУ'!L34)</f>
        <v>0</v>
      </c>
      <c r="M34" s="33">
        <f>SUM('Школы БУ'!M34+'Школы АУ'!M34)</f>
        <v>0</v>
      </c>
      <c r="N34" s="33">
        <f>SUM('Школы БУ'!N34+'Школы АУ'!N34)</f>
        <v>0</v>
      </c>
      <c r="O34" s="33">
        <f>SUM('Школы БУ'!O34+'Школы АУ'!O34)</f>
        <v>0</v>
      </c>
      <c r="P34" s="33">
        <f>SUM('Школы БУ'!P34+'Школы АУ'!P34)</f>
        <v>0</v>
      </c>
      <c r="Q34" s="33">
        <f>SUM('Школы БУ'!Q34+'Школы АУ'!Q34)</f>
        <v>0</v>
      </c>
      <c r="R34" s="33">
        <f>SUM('Школы БУ'!R34+'Школы АУ'!R34)</f>
        <v>0</v>
      </c>
      <c r="S34" s="33">
        <f>SUM('Школы БУ'!S34+'Школы АУ'!S34)</f>
        <v>0</v>
      </c>
      <c r="T34" s="33">
        <f>SUM('Школы БУ'!T34+'Школы АУ'!T34)</f>
        <v>0</v>
      </c>
    </row>
    <row r="35" spans="1:43" s="22" customFormat="1" ht="16.5" x14ac:dyDescent="0.25">
      <c r="A35" s="52" t="s">
        <v>23</v>
      </c>
      <c r="B35" s="28" t="s">
        <v>24</v>
      </c>
      <c r="C35" s="55"/>
      <c r="D35" s="33">
        <f t="shared" si="9"/>
        <v>0</v>
      </c>
      <c r="E35" s="33">
        <f t="shared" si="10"/>
        <v>0</v>
      </c>
      <c r="F35" s="33"/>
      <c r="G35" s="33">
        <f>SUM('Школы БУ'!G35+'Школы АУ'!G35)</f>
        <v>0</v>
      </c>
      <c r="H35" s="33">
        <f>SUM('Школы БУ'!H35+'Школы АУ'!H35)</f>
        <v>0</v>
      </c>
      <c r="I35" s="33">
        <f>SUM('Школы БУ'!I35+'Школы АУ'!I35)</f>
        <v>0</v>
      </c>
      <c r="J35" s="33">
        <f>SUM('Школы БУ'!J35+'Школы АУ'!J35)</f>
        <v>0</v>
      </c>
      <c r="K35" s="33">
        <f>SUM('Школы БУ'!K35+'Школы АУ'!K35)</f>
        <v>0</v>
      </c>
      <c r="L35" s="33">
        <f>SUM('Школы БУ'!L35+'Школы АУ'!L35)</f>
        <v>0</v>
      </c>
      <c r="M35" s="33">
        <f>SUM('Школы БУ'!M35+'Школы АУ'!M35)</f>
        <v>0</v>
      </c>
      <c r="N35" s="33">
        <f>SUM('Школы БУ'!N35+'Школы АУ'!N35)</f>
        <v>0</v>
      </c>
      <c r="O35" s="33">
        <f>SUM('Школы БУ'!O35+'Школы АУ'!O35)</f>
        <v>0</v>
      </c>
      <c r="P35" s="33">
        <f>SUM('Школы БУ'!P35+'Школы АУ'!P35)</f>
        <v>0</v>
      </c>
      <c r="Q35" s="33">
        <f>SUM('Школы БУ'!Q35+'Школы АУ'!Q35)</f>
        <v>0</v>
      </c>
      <c r="R35" s="33">
        <f>SUM('Школы БУ'!R35+'Школы АУ'!R35)</f>
        <v>0</v>
      </c>
      <c r="S35" s="33">
        <f>SUM('Школы БУ'!S35+'Школы АУ'!S35)</f>
        <v>0</v>
      </c>
      <c r="T35" s="33">
        <f>SUM('Школы БУ'!T35+'Школы АУ'!T35)</f>
        <v>0</v>
      </c>
    </row>
    <row r="36" spans="1:43" s="24" customFormat="1" ht="17.25" x14ac:dyDescent="0.25">
      <c r="A36" s="56" t="s">
        <v>25</v>
      </c>
      <c r="B36" s="48" t="s">
        <v>26</v>
      </c>
      <c r="C36" s="54"/>
      <c r="D36" s="25">
        <f t="shared" ref="D36:H36" si="26">SUM(D37:D41)</f>
        <v>270868725.25</v>
      </c>
      <c r="E36" s="25">
        <f t="shared" si="26"/>
        <v>51982187.200000003</v>
      </c>
      <c r="F36" s="25"/>
      <c r="G36" s="25">
        <f t="shared" si="26"/>
        <v>270691948.94</v>
      </c>
      <c r="H36" s="25">
        <f t="shared" si="26"/>
        <v>51982187.200000003</v>
      </c>
      <c r="I36" s="25">
        <f>SUM(I37:I41)</f>
        <v>0</v>
      </c>
      <c r="J36" s="25">
        <f t="shared" ref="J36:T36" si="27">SUM(J37:J41)</f>
        <v>0</v>
      </c>
      <c r="K36" s="25">
        <f t="shared" si="27"/>
        <v>0</v>
      </c>
      <c r="L36" s="25">
        <f t="shared" si="27"/>
        <v>0</v>
      </c>
      <c r="M36" s="25">
        <f t="shared" si="27"/>
        <v>0</v>
      </c>
      <c r="N36" s="25">
        <f t="shared" si="27"/>
        <v>0</v>
      </c>
      <c r="O36" s="25">
        <f t="shared" si="27"/>
        <v>0</v>
      </c>
      <c r="P36" s="25">
        <f t="shared" si="27"/>
        <v>0</v>
      </c>
      <c r="Q36" s="25">
        <f t="shared" si="27"/>
        <v>176776.31</v>
      </c>
      <c r="R36" s="25">
        <f t="shared" si="27"/>
        <v>0</v>
      </c>
      <c r="S36" s="25">
        <f t="shared" si="27"/>
        <v>0</v>
      </c>
      <c r="T36" s="25">
        <f t="shared" si="27"/>
        <v>0</v>
      </c>
    </row>
    <row r="37" spans="1:43" s="22" customFormat="1" ht="49.5" x14ac:dyDescent="0.25">
      <c r="A37" s="50" t="s">
        <v>27</v>
      </c>
      <c r="B37" s="28" t="s">
        <v>43</v>
      </c>
      <c r="C37" s="55"/>
      <c r="D37" s="33">
        <f t="shared" si="9"/>
        <v>253882646.25</v>
      </c>
      <c r="E37" s="33">
        <f t="shared" si="10"/>
        <v>47503138</v>
      </c>
      <c r="F37" s="33"/>
      <c r="G37" s="33">
        <f>SUM('Школы БУ'!G37+'Школы АУ'!G37)</f>
        <v>253705869.94</v>
      </c>
      <c r="H37" s="33">
        <f>SUM('Школы БУ'!H37+'Школы АУ'!H37)</f>
        <v>47503138</v>
      </c>
      <c r="I37" s="33">
        <f>SUM('Школы БУ'!I37+'Школы АУ'!I37)</f>
        <v>0</v>
      </c>
      <c r="J37" s="33">
        <f>SUM('Школы БУ'!J37+'Школы АУ'!J37)</f>
        <v>0</v>
      </c>
      <c r="K37" s="33">
        <f>SUM('Школы БУ'!K37+'Школы АУ'!K37)</f>
        <v>0</v>
      </c>
      <c r="L37" s="33">
        <f>SUM('Школы БУ'!L37+'Школы АУ'!L37)</f>
        <v>0</v>
      </c>
      <c r="M37" s="33">
        <f>SUM('Школы БУ'!M37+'Школы АУ'!M37)</f>
        <v>0</v>
      </c>
      <c r="N37" s="33">
        <f>SUM('Школы БУ'!N37+'Школы АУ'!N37)</f>
        <v>0</v>
      </c>
      <c r="O37" s="33">
        <f>SUM('Школы БУ'!O37+'Школы АУ'!O37)</f>
        <v>0</v>
      </c>
      <c r="P37" s="33">
        <f>SUM('Школы БУ'!P37+'Школы АУ'!P37)</f>
        <v>0</v>
      </c>
      <c r="Q37" s="33">
        <f>SUM('Школы БУ'!Q37+'Школы АУ'!Q37)</f>
        <v>176776.31</v>
      </c>
      <c r="R37" s="33">
        <f>SUM('Школы БУ'!R37+'Школы АУ'!R37)</f>
        <v>0</v>
      </c>
      <c r="S37" s="33">
        <f>SUM('Школы БУ'!S37+'Школы АУ'!S37)</f>
        <v>0</v>
      </c>
      <c r="T37" s="33">
        <f>SUM('Школы БУ'!T37+'Школы АУ'!T37)</f>
        <v>0</v>
      </c>
    </row>
    <row r="38" spans="1:43" s="22" customFormat="1" ht="33" x14ac:dyDescent="0.25">
      <c r="A38" s="50" t="s">
        <v>29</v>
      </c>
      <c r="B38" s="28" t="s">
        <v>44</v>
      </c>
      <c r="C38" s="55"/>
      <c r="D38" s="33">
        <f t="shared" si="9"/>
        <v>0</v>
      </c>
      <c r="E38" s="33">
        <f t="shared" si="10"/>
        <v>0</v>
      </c>
      <c r="F38" s="33"/>
      <c r="G38" s="33">
        <f>SUM('Школы БУ'!G38+'Школы АУ'!G38)</f>
        <v>0</v>
      </c>
      <c r="H38" s="33">
        <f>SUM('Школы БУ'!H38+'Школы АУ'!H38)</f>
        <v>0</v>
      </c>
      <c r="I38" s="33">
        <f>SUM('Школы БУ'!I38+'Школы АУ'!I38)</f>
        <v>0</v>
      </c>
      <c r="J38" s="33">
        <f>SUM('Школы БУ'!J38+'Школы АУ'!J38)</f>
        <v>0</v>
      </c>
      <c r="K38" s="33">
        <f>SUM('Школы БУ'!K38+'Школы АУ'!K38)</f>
        <v>0</v>
      </c>
      <c r="L38" s="33">
        <f>SUM('Школы БУ'!L38+'Школы АУ'!L38)</f>
        <v>0</v>
      </c>
      <c r="M38" s="33">
        <f>SUM('Школы БУ'!M38+'Школы АУ'!M38)</f>
        <v>0</v>
      </c>
      <c r="N38" s="33">
        <f>SUM('Школы БУ'!N38+'Школы АУ'!N38)</f>
        <v>0</v>
      </c>
      <c r="O38" s="33">
        <f>SUM('Школы БУ'!O38+'Школы АУ'!O38)</f>
        <v>0</v>
      </c>
      <c r="P38" s="33">
        <f>SUM('Школы БУ'!P38+'Школы АУ'!P38)</f>
        <v>0</v>
      </c>
      <c r="Q38" s="33">
        <f>SUM('Школы БУ'!Q38+'Школы АУ'!Q38)</f>
        <v>0</v>
      </c>
      <c r="R38" s="33">
        <f>SUM('Школы БУ'!R38+'Школы АУ'!R38)</f>
        <v>0</v>
      </c>
      <c r="S38" s="33">
        <f>SUM('Школы БУ'!S38+'Школы АУ'!S38)</f>
        <v>0</v>
      </c>
      <c r="T38" s="33">
        <f>SUM('Школы БУ'!T38+'Школы АУ'!T38)</f>
        <v>0</v>
      </c>
    </row>
    <row r="39" spans="1:43" s="22" customFormat="1" ht="48" x14ac:dyDescent="0.25">
      <c r="A39" s="50" t="s">
        <v>31</v>
      </c>
      <c r="B39" s="28" t="s">
        <v>32</v>
      </c>
      <c r="C39" s="55"/>
      <c r="D39" s="33">
        <f t="shared" si="9"/>
        <v>3747979</v>
      </c>
      <c r="E39" s="33">
        <f t="shared" si="10"/>
        <v>399979.2</v>
      </c>
      <c r="F39" s="33"/>
      <c r="G39" s="33">
        <f>SUM('Школы БУ'!G39+'Школы АУ'!G39)</f>
        <v>3747979</v>
      </c>
      <c r="H39" s="33">
        <f>SUM('Школы БУ'!H39+'Школы АУ'!H39)</f>
        <v>399979.2</v>
      </c>
      <c r="I39" s="33">
        <f>SUM('Школы БУ'!I39+'Школы АУ'!I39)</f>
        <v>0</v>
      </c>
      <c r="J39" s="33">
        <f>SUM('Школы БУ'!J39+'Школы АУ'!J39)</f>
        <v>0</v>
      </c>
      <c r="K39" s="33">
        <f>SUM('Школы БУ'!K39+'Школы АУ'!K39)</f>
        <v>0</v>
      </c>
      <c r="L39" s="33">
        <f>SUM('Школы БУ'!L39+'Школы АУ'!L39)</f>
        <v>0</v>
      </c>
      <c r="M39" s="33">
        <f>SUM('Школы БУ'!M39+'Школы АУ'!M39)</f>
        <v>0</v>
      </c>
      <c r="N39" s="33">
        <f>SUM('Школы БУ'!N39+'Школы АУ'!N39)</f>
        <v>0</v>
      </c>
      <c r="O39" s="33">
        <f>SUM('Школы БУ'!O39+'Школы АУ'!O39)</f>
        <v>0</v>
      </c>
      <c r="P39" s="33">
        <f>SUM('Школы БУ'!P39+'Школы АУ'!P39)</f>
        <v>0</v>
      </c>
      <c r="Q39" s="33">
        <f>SUM('Школы БУ'!Q39+'Школы АУ'!Q39)</f>
        <v>0</v>
      </c>
      <c r="R39" s="33">
        <f>SUM('Школы БУ'!R39+'Школы АУ'!R39)</f>
        <v>0</v>
      </c>
      <c r="S39" s="33">
        <f>SUM('Школы БУ'!S39+'Школы АУ'!S39)</f>
        <v>0</v>
      </c>
      <c r="T39" s="33">
        <f>SUM('Школы БУ'!T39+'Школы АУ'!T39)</f>
        <v>0</v>
      </c>
    </row>
    <row r="40" spans="1:43" s="22" customFormat="1" ht="33" hidden="1" x14ac:dyDescent="0.25">
      <c r="A40" s="50" t="s">
        <v>33</v>
      </c>
      <c r="B40" s="28" t="s">
        <v>34</v>
      </c>
      <c r="C40" s="55"/>
      <c r="D40" s="33">
        <f t="shared" si="9"/>
        <v>13238100</v>
      </c>
      <c r="E40" s="33">
        <f t="shared" si="10"/>
        <v>4079070</v>
      </c>
      <c r="F40" s="33"/>
      <c r="G40" s="33">
        <f>SUM('Школы БУ'!G40+'Школы АУ'!G40)</f>
        <v>13238100</v>
      </c>
      <c r="H40" s="33">
        <f>SUM('Школы БУ'!H40+'Школы АУ'!H40)</f>
        <v>4079070</v>
      </c>
      <c r="I40" s="33">
        <f>SUM('Школы БУ'!I40+'Школы АУ'!I40)</f>
        <v>0</v>
      </c>
      <c r="J40" s="33">
        <f>SUM('Школы БУ'!J40+'Школы АУ'!J40)</f>
        <v>0</v>
      </c>
      <c r="K40" s="33">
        <f>SUM('Школы БУ'!K40+'Школы АУ'!K40)</f>
        <v>0</v>
      </c>
      <c r="L40" s="33">
        <f>SUM('Школы БУ'!L40+'Школы АУ'!L40)</f>
        <v>0</v>
      </c>
      <c r="M40" s="33">
        <f>SUM('Школы БУ'!M40+'Школы АУ'!M40)</f>
        <v>0</v>
      </c>
      <c r="N40" s="33">
        <f>SUM('Школы БУ'!N40+'Школы АУ'!N40)</f>
        <v>0</v>
      </c>
      <c r="O40" s="33">
        <f>SUM('Школы БУ'!O40+'Школы АУ'!O40)</f>
        <v>0</v>
      </c>
      <c r="P40" s="33">
        <f>SUM('Школы БУ'!P40+'Школы АУ'!P40)</f>
        <v>0</v>
      </c>
      <c r="Q40" s="33">
        <f>SUM('Школы БУ'!Q40+'Школы АУ'!Q40)</f>
        <v>0</v>
      </c>
      <c r="R40" s="33">
        <f>SUM('Школы БУ'!R40+'Школы АУ'!R40)</f>
        <v>0</v>
      </c>
      <c r="S40" s="33">
        <f>SUM('Школы БУ'!S40+'Школы АУ'!S40)</f>
        <v>0</v>
      </c>
      <c r="T40" s="33">
        <f>SUM('Школы БУ'!T40+'Школы АУ'!T40)</f>
        <v>0</v>
      </c>
    </row>
    <row r="41" spans="1:43" s="22" customFormat="1" ht="49.5" hidden="1" x14ac:dyDescent="0.25">
      <c r="A41" s="50" t="s">
        <v>35</v>
      </c>
      <c r="B41" s="28" t="s">
        <v>36</v>
      </c>
      <c r="C41" s="55"/>
      <c r="D41" s="33">
        <f t="shared" si="9"/>
        <v>0</v>
      </c>
      <c r="E41" s="33">
        <f t="shared" si="10"/>
        <v>0</v>
      </c>
      <c r="F41" s="33"/>
      <c r="G41" s="33">
        <f>SUM('Школы БУ'!G41+'Школы АУ'!G41)</f>
        <v>0</v>
      </c>
      <c r="H41" s="33">
        <f>SUM('Школы БУ'!H41+'Школы АУ'!H41)</f>
        <v>0</v>
      </c>
      <c r="I41" s="33">
        <f>SUM('Школы БУ'!I41+'Школы АУ'!I41)</f>
        <v>0</v>
      </c>
      <c r="J41" s="33">
        <f>SUM('Школы БУ'!J41+'Школы АУ'!J41)</f>
        <v>0</v>
      </c>
      <c r="K41" s="33">
        <f>SUM('Школы БУ'!K41+'Школы АУ'!K41)</f>
        <v>0</v>
      </c>
      <c r="L41" s="33">
        <f>SUM('Школы БУ'!L41+'Школы АУ'!L41)</f>
        <v>0</v>
      </c>
      <c r="M41" s="33">
        <f>SUM('Школы БУ'!M41+'Школы АУ'!M41)</f>
        <v>0</v>
      </c>
      <c r="N41" s="33">
        <f>SUM('Школы БУ'!N41+'Школы АУ'!N41)</f>
        <v>0</v>
      </c>
      <c r="O41" s="33">
        <f>SUM('Школы БУ'!O41+'Школы АУ'!O41)</f>
        <v>0</v>
      </c>
      <c r="P41" s="33">
        <f>SUM('Школы БУ'!P41+'Школы АУ'!P41)</f>
        <v>0</v>
      </c>
      <c r="Q41" s="33">
        <f>SUM('Школы БУ'!Q41+'Школы АУ'!Q41)</f>
        <v>0</v>
      </c>
      <c r="R41" s="33">
        <f>SUM('Школы БУ'!R41+'Школы АУ'!R41)</f>
        <v>0</v>
      </c>
      <c r="S41" s="33">
        <f>SUM('Школы БУ'!S41+'Школы АУ'!S41)</f>
        <v>0</v>
      </c>
      <c r="T41" s="33">
        <f>SUM('Школы БУ'!T41+'Школы АУ'!T41)</f>
        <v>0</v>
      </c>
    </row>
    <row r="42" spans="1:43" s="20" customFormat="1" ht="17.25" x14ac:dyDescent="0.25">
      <c r="A42" s="53">
        <v>3</v>
      </c>
      <c r="B42" s="48" t="s">
        <v>37</v>
      </c>
      <c r="C42" s="54"/>
      <c r="D42" s="33">
        <f t="shared" si="9"/>
        <v>0</v>
      </c>
      <c r="E42" s="33">
        <f t="shared" si="10"/>
        <v>0</v>
      </c>
      <c r="F42" s="33"/>
      <c r="G42" s="33">
        <f>SUM('Школы БУ'!G42+'Школы АУ'!G42)</f>
        <v>0</v>
      </c>
      <c r="H42" s="33">
        <f>SUM('Школы БУ'!H42+'Школы АУ'!H42)</f>
        <v>0</v>
      </c>
      <c r="I42" s="33">
        <f>SUM('Школы БУ'!I42+'Школы АУ'!I42)</f>
        <v>0</v>
      </c>
      <c r="J42" s="33">
        <f>SUM('Школы БУ'!J42+'Школы АУ'!J42)</f>
        <v>0</v>
      </c>
      <c r="K42" s="33">
        <f>SUM('Школы БУ'!K42+'Школы АУ'!K42)</f>
        <v>0</v>
      </c>
      <c r="L42" s="33">
        <f>SUM('Школы БУ'!L42+'Школы АУ'!L42)</f>
        <v>0</v>
      </c>
      <c r="M42" s="33">
        <f>SUM('Школы БУ'!M42+'Школы АУ'!M42)</f>
        <v>0</v>
      </c>
      <c r="N42" s="33">
        <f>SUM('Школы БУ'!N42+'Школы АУ'!N42)</f>
        <v>0</v>
      </c>
      <c r="O42" s="33">
        <f>SUM('Школы БУ'!O42+'Школы АУ'!O42)</f>
        <v>0</v>
      </c>
      <c r="P42" s="33">
        <f>SUM('Школы БУ'!P42+'Школы АУ'!P42)</f>
        <v>0</v>
      </c>
      <c r="Q42" s="33">
        <f>SUM('Школы БУ'!Q42+'Школы АУ'!Q42)</f>
        <v>0</v>
      </c>
      <c r="R42" s="33">
        <f>SUM('Школы БУ'!R42+'Школы АУ'!R42)</f>
        <v>0</v>
      </c>
      <c r="S42" s="33">
        <f>SUM('Школы БУ'!S42+'Школы АУ'!S42)</f>
        <v>0</v>
      </c>
      <c r="T42" s="33">
        <f>SUM('Школы БУ'!T42+'Школы АУ'!T42)</f>
        <v>0</v>
      </c>
    </row>
    <row r="43" spans="1:43" s="20" customFormat="1" ht="17.25" x14ac:dyDescent="0.25">
      <c r="A43" s="53">
        <v>4</v>
      </c>
      <c r="B43" s="48" t="s">
        <v>38</v>
      </c>
      <c r="C43" s="54"/>
      <c r="D43" s="33">
        <f t="shared" si="9"/>
        <v>146679000</v>
      </c>
      <c r="E43" s="33">
        <f t="shared" si="10"/>
        <v>66454645.550000004</v>
      </c>
      <c r="F43" s="33"/>
      <c r="G43" s="33">
        <f>SUM('Школы БУ'!G43+'Школы АУ'!G43)</f>
        <v>0</v>
      </c>
      <c r="H43" s="33">
        <f>SUM('Школы БУ'!H43+'Школы АУ'!H43)</f>
        <v>0</v>
      </c>
      <c r="I43" s="33">
        <f>SUM('Школы БУ'!I43+'Школы АУ'!I43)</f>
        <v>0</v>
      </c>
      <c r="J43" s="33">
        <f>SUM('Школы БУ'!J43+'Школы АУ'!J43)</f>
        <v>0</v>
      </c>
      <c r="K43" s="33">
        <f>SUM('Школы БУ'!K43+'Школы АУ'!K43)</f>
        <v>0</v>
      </c>
      <c r="L43" s="33">
        <f>SUM('Школы БУ'!L43+'Школы АУ'!L43)</f>
        <v>0</v>
      </c>
      <c r="M43" s="33">
        <f>SUM('Школы БУ'!M43+'Школы АУ'!M43)</f>
        <v>0</v>
      </c>
      <c r="N43" s="33">
        <f>SUM('Школы БУ'!N43+'Школы АУ'!N43)</f>
        <v>0</v>
      </c>
      <c r="O43" s="33">
        <f>SUM('Школы БУ'!O43+'Школы АУ'!O43)</f>
        <v>0</v>
      </c>
      <c r="P43" s="33">
        <f>SUM('Школы БУ'!P43+'Школы АУ'!P43)</f>
        <v>0</v>
      </c>
      <c r="Q43" s="33">
        <f>SUM('Школы БУ'!Q43+'Школы АУ'!Q43)</f>
        <v>0</v>
      </c>
      <c r="R43" s="33">
        <f>SUM('Школы БУ'!R43+'Школы АУ'!R43)</f>
        <v>0</v>
      </c>
      <c r="S43" s="33">
        <f>SUM('Школы БУ'!S43+'Школы АУ'!S43)</f>
        <v>146679000</v>
      </c>
      <c r="T43" s="33">
        <f>SUM('Школы БУ'!T43+'Школы АУ'!T43)</f>
        <v>66454645.550000004</v>
      </c>
    </row>
    <row r="44" spans="1:43" s="20" customFormat="1" ht="17.25" x14ac:dyDescent="0.25">
      <c r="A44" s="53">
        <v>5</v>
      </c>
      <c r="B44" s="48" t="s">
        <v>39</v>
      </c>
      <c r="C44" s="54"/>
      <c r="D44" s="33">
        <f t="shared" si="9"/>
        <v>4700983.4399999995</v>
      </c>
      <c r="E44" s="33">
        <f t="shared" si="10"/>
        <v>1345677.5499999998</v>
      </c>
      <c r="F44" s="33"/>
      <c r="G44" s="33">
        <f>SUM('Школы БУ'!G44+'Школы АУ'!G44)</f>
        <v>0</v>
      </c>
      <c r="H44" s="33">
        <f>SUM('Школы БУ'!H44+'Школы АУ'!H44)</f>
        <v>0</v>
      </c>
      <c r="I44" s="33">
        <f>SUM('Школы БУ'!I44+'Школы АУ'!I44)</f>
        <v>0</v>
      </c>
      <c r="J44" s="33">
        <f>SUM('Школы БУ'!J44+'Школы АУ'!J44)</f>
        <v>0</v>
      </c>
      <c r="K44" s="33">
        <f>SUM('Школы БУ'!K44+'Школы АУ'!K44)</f>
        <v>0</v>
      </c>
      <c r="L44" s="33">
        <f>SUM('Школы БУ'!L44+'Школы АУ'!L44)</f>
        <v>0</v>
      </c>
      <c r="M44" s="33">
        <f>SUM('Школы БУ'!M44+'Школы АУ'!M44)</f>
        <v>0</v>
      </c>
      <c r="N44" s="33">
        <f>SUM('Школы БУ'!N44+'Школы АУ'!N44)</f>
        <v>0</v>
      </c>
      <c r="O44" s="33">
        <f>SUM('Школы БУ'!O44+'Школы АУ'!O44)</f>
        <v>0</v>
      </c>
      <c r="P44" s="33">
        <f>SUM('Школы БУ'!P44+'Школы АУ'!P44)</f>
        <v>0</v>
      </c>
      <c r="Q44" s="33">
        <f>SUM('Школы БУ'!Q44+'Школы АУ'!Q44)</f>
        <v>0</v>
      </c>
      <c r="R44" s="33">
        <f>SUM('Школы БУ'!R44+'Школы АУ'!R44)</f>
        <v>0</v>
      </c>
      <c r="S44" s="33">
        <f>SUM('Школы БУ'!S44+'Школы АУ'!S44)</f>
        <v>4700983.4399999995</v>
      </c>
      <c r="T44" s="33">
        <f>SUM('Школы БУ'!T44+'Школы АУ'!T44)</f>
        <v>1345677.5499999998</v>
      </c>
    </row>
    <row r="45" spans="1:43" s="20" customFormat="1" ht="17.25" x14ac:dyDescent="0.25">
      <c r="A45" s="53">
        <v>6</v>
      </c>
      <c r="B45" s="48" t="s">
        <v>40</v>
      </c>
      <c r="C45" s="54"/>
      <c r="D45" s="33">
        <f t="shared" si="9"/>
        <v>2811368.71</v>
      </c>
      <c r="E45" s="33">
        <f t="shared" si="10"/>
        <v>1112642.9100000001</v>
      </c>
      <c r="F45" s="33"/>
      <c r="G45" s="33">
        <f>SUM('Школы БУ'!G45+'Школы АУ'!G45)</f>
        <v>0</v>
      </c>
      <c r="H45" s="33">
        <f>SUM('Школы БУ'!H45+'Школы АУ'!H45)</f>
        <v>0</v>
      </c>
      <c r="I45" s="33">
        <f>SUM('Школы БУ'!I45+'Школы АУ'!I45)</f>
        <v>0</v>
      </c>
      <c r="J45" s="33">
        <f>SUM('Школы БУ'!J45+'Школы АУ'!J45)</f>
        <v>0</v>
      </c>
      <c r="K45" s="33">
        <f>SUM('Школы БУ'!K45+'Школы АУ'!K45)</f>
        <v>0</v>
      </c>
      <c r="L45" s="33">
        <f>SUM('Школы БУ'!L45+'Школы АУ'!L45)</f>
        <v>0</v>
      </c>
      <c r="M45" s="33">
        <f>SUM('Школы БУ'!M45+'Школы АУ'!M45)</f>
        <v>0</v>
      </c>
      <c r="N45" s="33">
        <f>SUM('Школы БУ'!N45+'Школы АУ'!N45)</f>
        <v>0</v>
      </c>
      <c r="O45" s="33">
        <f>SUM('Школы БУ'!O45+'Школы АУ'!O45)</f>
        <v>0</v>
      </c>
      <c r="P45" s="33">
        <f>SUM('Школы БУ'!P45+'Школы АУ'!P45)</f>
        <v>0</v>
      </c>
      <c r="Q45" s="33">
        <f>SUM('Школы БУ'!Q45+'Школы АУ'!Q45)</f>
        <v>0</v>
      </c>
      <c r="R45" s="33">
        <f>SUM('Школы БУ'!R45+'Школы АУ'!R45)</f>
        <v>0</v>
      </c>
      <c r="S45" s="33">
        <f>SUM('Школы БУ'!S45+'Школы АУ'!S45)</f>
        <v>2811368.71</v>
      </c>
      <c r="T45" s="33">
        <f>SUM('Школы БУ'!T45+'Школы АУ'!T45)</f>
        <v>1112642.9100000001</v>
      </c>
    </row>
    <row r="46" spans="1:43" s="20" customFormat="1" ht="17.25" x14ac:dyDescent="0.25">
      <c r="A46" s="53">
        <v>7</v>
      </c>
      <c r="B46" s="48" t="s">
        <v>41</v>
      </c>
      <c r="C46" s="54"/>
      <c r="D46" s="33">
        <f t="shared" si="9"/>
        <v>27774263.130000003</v>
      </c>
      <c r="E46" s="33">
        <f t="shared" si="10"/>
        <v>9566438.5500000007</v>
      </c>
      <c r="F46" s="33"/>
      <c r="G46" s="33">
        <f>SUM('Школы БУ'!G46+'Школы АУ'!G46)</f>
        <v>0</v>
      </c>
      <c r="H46" s="33">
        <f>SUM('Школы БУ'!H46+'Школы АУ'!H46)</f>
        <v>0</v>
      </c>
      <c r="I46" s="33">
        <f>SUM('Школы БУ'!I46+'Школы АУ'!I46)</f>
        <v>0</v>
      </c>
      <c r="J46" s="33">
        <f>SUM('Школы БУ'!J46+'Школы АУ'!J46)</f>
        <v>0</v>
      </c>
      <c r="K46" s="33">
        <f>SUM('Школы БУ'!K46+'Школы АУ'!K46)</f>
        <v>0</v>
      </c>
      <c r="L46" s="33">
        <f>SUM('Школы БУ'!L46+'Школы АУ'!L46)</f>
        <v>0</v>
      </c>
      <c r="M46" s="33">
        <f>SUM('Школы БУ'!M46+'Школы АУ'!M46)</f>
        <v>0</v>
      </c>
      <c r="N46" s="33">
        <f>SUM('Школы БУ'!N46+'Школы АУ'!N46)</f>
        <v>0</v>
      </c>
      <c r="O46" s="33">
        <f>SUM('Школы БУ'!O46+'Школы АУ'!O46)</f>
        <v>0</v>
      </c>
      <c r="P46" s="33">
        <f>SUM('Школы БУ'!P46+'Школы АУ'!P46)</f>
        <v>0</v>
      </c>
      <c r="Q46" s="33">
        <f>SUM('Школы БУ'!Q46+'Школы АУ'!Q46)</f>
        <v>0</v>
      </c>
      <c r="R46" s="33">
        <f>SUM('Школы БУ'!R46+'Школы АУ'!R46)</f>
        <v>0</v>
      </c>
      <c r="S46" s="33">
        <f>SUM('Школы БУ'!S46+'Школы АУ'!S46)</f>
        <v>27774263.130000003</v>
      </c>
      <c r="T46" s="33">
        <f>SUM('Школы БУ'!T46+'Школы АУ'!T46)</f>
        <v>9566438.5500000007</v>
      </c>
    </row>
    <row r="47" spans="1:43" s="20" customFormat="1" ht="20.25" x14ac:dyDescent="0.25">
      <c r="A47" s="163" t="s">
        <v>45</v>
      </c>
      <c r="B47" s="163"/>
      <c r="C47" s="57"/>
      <c r="D47" s="25">
        <f>SUM(D48+D84+D186+D187+D206+D223+D241)</f>
        <v>3403261798.9200001</v>
      </c>
      <c r="E47" s="25">
        <f t="shared" ref="E47:H47" si="28">SUM(E48+E84+E186+E187+E206+E223+E241)</f>
        <v>1069316654.6300001</v>
      </c>
      <c r="F47" s="25"/>
      <c r="G47" s="25">
        <f t="shared" si="28"/>
        <v>618760812.78999996</v>
      </c>
      <c r="H47" s="25">
        <f t="shared" si="28"/>
        <v>197889799.64000002</v>
      </c>
      <c r="I47" s="25">
        <f t="shared" ref="I47" si="29">SUM(I48+I84+I186+I187+I206+I223+I241)</f>
        <v>2550529240</v>
      </c>
      <c r="J47" s="25">
        <f t="shared" ref="J47:S47" si="30">SUM(J48+J84+J186+J187+J206+J223+J241)</f>
        <v>791921272.45000005</v>
      </c>
      <c r="K47" s="25">
        <f t="shared" si="30"/>
        <v>7055664</v>
      </c>
      <c r="L47" s="25">
        <f t="shared" si="30"/>
        <v>1381608.92</v>
      </c>
      <c r="M47" s="25">
        <f t="shared" si="30"/>
        <v>2673520</v>
      </c>
      <c r="N47" s="25">
        <f t="shared" si="30"/>
        <v>1711061.93</v>
      </c>
      <c r="O47" s="25">
        <f t="shared" si="30"/>
        <v>25455480</v>
      </c>
      <c r="P47" s="25">
        <f t="shared" si="30"/>
        <v>8647430.7699999996</v>
      </c>
      <c r="Q47" s="25">
        <f t="shared" si="30"/>
        <v>177022.09</v>
      </c>
      <c r="R47" s="25">
        <f t="shared" si="30"/>
        <v>0</v>
      </c>
      <c r="S47" s="25">
        <f t="shared" si="30"/>
        <v>198610060.03999999</v>
      </c>
      <c r="T47" s="25">
        <f>SUM(T48+T84+T186+T187+T206+T223+T241)</f>
        <v>67765480.920000002</v>
      </c>
    </row>
    <row r="48" spans="1:43" s="20" customFormat="1" ht="34.5" x14ac:dyDescent="0.25">
      <c r="A48" s="53">
        <v>1</v>
      </c>
      <c r="B48" s="48" t="s">
        <v>18</v>
      </c>
      <c r="C48" s="54"/>
      <c r="D48" s="25">
        <f t="shared" ref="D48:H48" si="31">SUM(D49+D78+D82)</f>
        <v>2933782767.8499999</v>
      </c>
      <c r="E48" s="25">
        <f t="shared" si="31"/>
        <v>957773789.47000015</v>
      </c>
      <c r="F48" s="25"/>
      <c r="G48" s="25">
        <f t="shared" si="31"/>
        <v>348068863.85000002</v>
      </c>
      <c r="H48" s="25">
        <f t="shared" si="31"/>
        <v>154112415.40000001</v>
      </c>
      <c r="I48" s="25">
        <f>SUM(I49+I78+I82)</f>
        <v>2550529240</v>
      </c>
      <c r="J48" s="25">
        <f t="shared" ref="J48:T48" si="32">SUM(J49+J78+J82)</f>
        <v>791921272.45000005</v>
      </c>
      <c r="K48" s="25">
        <f t="shared" si="32"/>
        <v>7055664</v>
      </c>
      <c r="L48" s="25">
        <f t="shared" si="32"/>
        <v>1381608.92</v>
      </c>
      <c r="M48" s="25">
        <f t="shared" si="32"/>
        <v>2673520</v>
      </c>
      <c r="N48" s="25">
        <f t="shared" si="32"/>
        <v>1711061.93</v>
      </c>
      <c r="O48" s="25">
        <f t="shared" si="32"/>
        <v>25455480</v>
      </c>
      <c r="P48" s="25">
        <f t="shared" si="32"/>
        <v>8647430.7699999996</v>
      </c>
      <c r="Q48" s="25">
        <f t="shared" si="32"/>
        <v>0</v>
      </c>
      <c r="R48" s="25">
        <f t="shared" si="32"/>
        <v>0</v>
      </c>
      <c r="S48" s="25">
        <f t="shared" si="32"/>
        <v>0</v>
      </c>
      <c r="T48" s="25">
        <f t="shared" si="32"/>
        <v>0</v>
      </c>
      <c r="AQ48" s="20">
        <v>173284000</v>
      </c>
    </row>
    <row r="49" spans="1:20" s="20" customFormat="1" ht="34.5" x14ac:dyDescent="0.25">
      <c r="A49" s="53" t="s">
        <v>19</v>
      </c>
      <c r="B49" s="48" t="s">
        <v>20</v>
      </c>
      <c r="C49" s="54"/>
      <c r="D49" s="25">
        <f t="shared" ref="D49:H49" si="33">SUM(D50+D51+D52+D53+D54+D55+D59+D60+D61+D64+D65+D68)+D72</f>
        <v>2862640737.8499999</v>
      </c>
      <c r="E49" s="25">
        <f t="shared" si="33"/>
        <v>930113159.4000001</v>
      </c>
      <c r="F49" s="25"/>
      <c r="G49" s="25">
        <f t="shared" si="33"/>
        <v>276926833.85000002</v>
      </c>
      <c r="H49" s="25">
        <f t="shared" si="33"/>
        <v>126451785.33000001</v>
      </c>
      <c r="I49" s="25">
        <f t="shared" ref="I49" si="34">SUM(I50+I51+I52+I53+I54+I55+I59+I60+I61+I64+I65+I68)+I72</f>
        <v>2550529240</v>
      </c>
      <c r="J49" s="25">
        <f t="shared" ref="J49:T49" si="35">SUM(J50+J51+J52+J53+J54+J55+J59+J60+J61+J64+J65+J68)+J72</f>
        <v>791921272.45000005</v>
      </c>
      <c r="K49" s="25">
        <f t="shared" si="35"/>
        <v>7055664</v>
      </c>
      <c r="L49" s="25">
        <f t="shared" si="35"/>
        <v>1381608.92</v>
      </c>
      <c r="M49" s="25">
        <f t="shared" si="35"/>
        <v>2673520</v>
      </c>
      <c r="N49" s="25">
        <f t="shared" si="35"/>
        <v>1711061.93</v>
      </c>
      <c r="O49" s="25">
        <f t="shared" si="35"/>
        <v>25455480</v>
      </c>
      <c r="P49" s="25">
        <f t="shared" si="35"/>
        <v>8647430.7699999996</v>
      </c>
      <c r="Q49" s="25">
        <f t="shared" si="35"/>
        <v>0</v>
      </c>
      <c r="R49" s="25">
        <f t="shared" si="35"/>
        <v>0</v>
      </c>
      <c r="S49" s="25">
        <f t="shared" si="35"/>
        <v>0</v>
      </c>
      <c r="T49" s="25">
        <f t="shared" si="35"/>
        <v>0</v>
      </c>
    </row>
    <row r="50" spans="1:20" s="22" customFormat="1" ht="16.5" x14ac:dyDescent="0.25">
      <c r="A50" s="50" t="s">
        <v>46</v>
      </c>
      <c r="B50" s="28" t="s">
        <v>47</v>
      </c>
      <c r="C50" s="55">
        <v>211</v>
      </c>
      <c r="D50" s="33">
        <f>SUM(G50+I50+K50+M50+O50+Q50+S50)</f>
        <v>1943308290</v>
      </c>
      <c r="E50" s="33">
        <f t="shared" si="10"/>
        <v>607442731.15999997</v>
      </c>
      <c r="F50" s="33"/>
      <c r="G50" s="33">
        <f>SUM('Школы БУ'!G50+'Школы АУ'!G50)</f>
        <v>12824600</v>
      </c>
      <c r="H50" s="33">
        <f>SUM('Школы БУ'!H50+'Школы АУ'!H50)</f>
        <v>4432537.33</v>
      </c>
      <c r="I50" s="33">
        <f>SUM('Школы БУ'!I50+'Школы АУ'!I50)</f>
        <v>1925080500</v>
      </c>
      <c r="J50" s="33">
        <f>SUM('Школы БУ'!J50+'Школы АУ'!J50)</f>
        <v>601924684.90999997</v>
      </c>
      <c r="K50" s="33">
        <f>SUM('Школы БУ'!K50+'Школы АУ'!K50)</f>
        <v>5403190</v>
      </c>
      <c r="L50" s="33">
        <f>SUM('Школы БУ'!L50+'Школы АУ'!L50)</f>
        <v>1085508.92</v>
      </c>
      <c r="M50" s="33">
        <f>SUM('Школы БУ'!M50+'Школы АУ'!M50)</f>
        <v>0</v>
      </c>
      <c r="N50" s="33">
        <f>SUM('Школы БУ'!N50+'Школы АУ'!N50)</f>
        <v>0</v>
      </c>
      <c r="O50" s="33">
        <f>SUM('Школы БУ'!O50+'Школы АУ'!O50)</f>
        <v>0</v>
      </c>
      <c r="P50" s="33">
        <f>SUM('Школы БУ'!P50+'Школы АУ'!P50)</f>
        <v>0</v>
      </c>
      <c r="Q50" s="33">
        <f>SUM('Школы БУ'!Q50+'Школы АУ'!Q50)</f>
        <v>0</v>
      </c>
      <c r="R50" s="33">
        <f>SUM('Школы БУ'!R50+'Школы АУ'!R50)</f>
        <v>0</v>
      </c>
      <c r="S50" s="33">
        <f>SUM('Школы БУ'!S50+'Школы АУ'!S50)</f>
        <v>0</v>
      </c>
      <c r="T50" s="33">
        <f>SUM('Школы БУ'!T50+'Школы АУ'!T50)</f>
        <v>0</v>
      </c>
    </row>
    <row r="51" spans="1:20" s="22" customFormat="1" ht="16.5" x14ac:dyDescent="0.25">
      <c r="A51" s="50" t="s">
        <v>48</v>
      </c>
      <c r="B51" s="28" t="s">
        <v>49</v>
      </c>
      <c r="C51" s="55">
        <v>212</v>
      </c>
      <c r="D51" s="33">
        <f t="shared" si="9"/>
        <v>2761930</v>
      </c>
      <c r="E51" s="33">
        <f t="shared" si="10"/>
        <v>1737221.69</v>
      </c>
      <c r="F51" s="33"/>
      <c r="G51" s="33">
        <f>SUM('Школы БУ'!G51+'Школы АУ'!G51)</f>
        <v>88410</v>
      </c>
      <c r="H51" s="33">
        <f>SUM('Школы БУ'!H51+'Школы АУ'!H51)</f>
        <v>26159.759999999998</v>
      </c>
      <c r="I51" s="33">
        <f>SUM('Школы БУ'!I51+'Школы АУ'!I51)</f>
        <v>0</v>
      </c>
      <c r="J51" s="33">
        <f>SUM('Школы БУ'!J51+'Школы АУ'!J51)</f>
        <v>0</v>
      </c>
      <c r="K51" s="33">
        <f>SUM('Школы БУ'!K51+'Школы АУ'!K51)</f>
        <v>0</v>
      </c>
      <c r="L51" s="33">
        <f>SUM('Школы БУ'!L51+'Школы АУ'!L51)</f>
        <v>0</v>
      </c>
      <c r="M51" s="33">
        <f>SUM('Школы БУ'!M51+'Школы АУ'!M51)</f>
        <v>2673520</v>
      </c>
      <c r="N51" s="33">
        <f>SUM('Школы БУ'!N51+'Школы АУ'!N51)</f>
        <v>1711061.93</v>
      </c>
      <c r="O51" s="33">
        <f>SUM('Школы БУ'!O51+'Школы АУ'!O51)</f>
        <v>0</v>
      </c>
      <c r="P51" s="33">
        <f>SUM('Школы БУ'!P51+'Школы АУ'!P51)</f>
        <v>0</v>
      </c>
      <c r="Q51" s="33">
        <f>SUM('Школы БУ'!Q51+'Школы АУ'!Q51)</f>
        <v>0</v>
      </c>
      <c r="R51" s="33">
        <f>SUM('Школы БУ'!R51+'Школы АУ'!R51)</f>
        <v>0</v>
      </c>
      <c r="S51" s="33">
        <f>SUM('Школы БУ'!S51+'Школы АУ'!S51)</f>
        <v>0</v>
      </c>
      <c r="T51" s="33">
        <f>SUM('Школы БУ'!T51+'Школы АУ'!T51)</f>
        <v>0</v>
      </c>
    </row>
    <row r="52" spans="1:20" s="22" customFormat="1" ht="16.5" x14ac:dyDescent="0.25">
      <c r="A52" s="50" t="s">
        <v>50</v>
      </c>
      <c r="B52" s="28" t="s">
        <v>51</v>
      </c>
      <c r="C52" s="55">
        <v>213</v>
      </c>
      <c r="D52" s="33">
        <f t="shared" si="9"/>
        <v>582973746</v>
      </c>
      <c r="E52" s="33">
        <f t="shared" si="10"/>
        <v>180869367.82999998</v>
      </c>
      <c r="F52" s="33"/>
      <c r="G52" s="33">
        <f>SUM('Школы БУ'!G52+'Школы АУ'!G52)</f>
        <v>3846400</v>
      </c>
      <c r="H52" s="33">
        <f>SUM('Школы БУ'!H52+'Школы АУ'!H52)</f>
        <v>1307646.94</v>
      </c>
      <c r="I52" s="33">
        <f>SUM('Школы БУ'!I52+'Школы АУ'!I52)</f>
        <v>577522640</v>
      </c>
      <c r="J52" s="33">
        <f>SUM('Школы БУ'!J52+'Школы АУ'!J52)</f>
        <v>179265620.88999999</v>
      </c>
      <c r="K52" s="33">
        <f>SUM('Школы БУ'!K52+'Школы АУ'!K52)</f>
        <v>1604706</v>
      </c>
      <c r="L52" s="33">
        <f>SUM('Школы БУ'!L52+'Школы АУ'!L52)</f>
        <v>296100</v>
      </c>
      <c r="M52" s="33">
        <f>SUM('Школы БУ'!M52+'Школы АУ'!M52)</f>
        <v>0</v>
      </c>
      <c r="N52" s="33">
        <f>SUM('Школы БУ'!N52+'Школы АУ'!N52)</f>
        <v>0</v>
      </c>
      <c r="O52" s="33">
        <f>SUM('Школы БУ'!O52+'Школы АУ'!O52)</f>
        <v>0</v>
      </c>
      <c r="P52" s="33">
        <f>SUM('Школы БУ'!P52+'Школы АУ'!P52)</f>
        <v>0</v>
      </c>
      <c r="Q52" s="33">
        <f>SUM('Школы БУ'!Q52+'Школы АУ'!Q52)</f>
        <v>0</v>
      </c>
      <c r="R52" s="33">
        <f>SUM('Школы БУ'!R52+'Школы АУ'!R52)</f>
        <v>0</v>
      </c>
      <c r="S52" s="33">
        <f>SUM('Школы БУ'!S52+'Школы АУ'!S52)</f>
        <v>0</v>
      </c>
      <c r="T52" s="33">
        <f>SUM('Школы БУ'!T52+'Школы АУ'!T52)</f>
        <v>0</v>
      </c>
    </row>
    <row r="53" spans="1:20" s="22" customFormat="1" ht="16.5" x14ac:dyDescent="0.25">
      <c r="A53" s="52" t="s">
        <v>52</v>
      </c>
      <c r="B53" s="28" t="s">
        <v>53</v>
      </c>
      <c r="C53" s="55">
        <v>221</v>
      </c>
      <c r="D53" s="33">
        <f t="shared" si="9"/>
        <v>1765000</v>
      </c>
      <c r="E53" s="33">
        <f t="shared" si="10"/>
        <v>608091.41</v>
      </c>
      <c r="F53" s="33"/>
      <c r="G53" s="33">
        <f>SUM('Школы БУ'!G53+'Школы АУ'!G53)</f>
        <v>1765000</v>
      </c>
      <c r="H53" s="33">
        <f>SUM('Школы БУ'!H53+'Школы АУ'!H53)</f>
        <v>608091.41</v>
      </c>
      <c r="I53" s="33">
        <f>SUM('Школы БУ'!I53+'Школы АУ'!I53)</f>
        <v>0</v>
      </c>
      <c r="J53" s="33">
        <f>SUM('Школы БУ'!J53+'Школы АУ'!J53)</f>
        <v>0</v>
      </c>
      <c r="K53" s="33">
        <f>SUM('Школы БУ'!K53+'Школы АУ'!K53)</f>
        <v>0</v>
      </c>
      <c r="L53" s="33">
        <f>SUM('Школы БУ'!L53+'Школы АУ'!L53)</f>
        <v>0</v>
      </c>
      <c r="M53" s="33">
        <f>SUM('Школы БУ'!M53+'Школы АУ'!M53)</f>
        <v>0</v>
      </c>
      <c r="N53" s="33">
        <f>SUM('Школы БУ'!N53+'Школы АУ'!N53)</f>
        <v>0</v>
      </c>
      <c r="O53" s="33">
        <f>SUM('Школы БУ'!O53+'Школы АУ'!O53)</f>
        <v>0</v>
      </c>
      <c r="P53" s="33">
        <f>SUM('Школы БУ'!P53+'Школы АУ'!P53)</f>
        <v>0</v>
      </c>
      <c r="Q53" s="33">
        <f>SUM('Школы БУ'!Q53+'Школы АУ'!Q53)</f>
        <v>0</v>
      </c>
      <c r="R53" s="33">
        <f>SUM('Школы БУ'!R53+'Школы АУ'!R53)</f>
        <v>0</v>
      </c>
      <c r="S53" s="33">
        <f>SUM('Школы БУ'!S53+'Школы АУ'!S53)</f>
        <v>0</v>
      </c>
      <c r="T53" s="33">
        <f>SUM('Школы БУ'!T53+'Школы АУ'!T53)</f>
        <v>0</v>
      </c>
    </row>
    <row r="54" spans="1:20" s="22" customFormat="1" ht="16.5" x14ac:dyDescent="0.25">
      <c r="A54" s="50" t="s">
        <v>54</v>
      </c>
      <c r="B54" s="28" t="s">
        <v>55</v>
      </c>
      <c r="C54" s="55">
        <v>222</v>
      </c>
      <c r="D54" s="33">
        <f t="shared" si="9"/>
        <v>0</v>
      </c>
      <c r="E54" s="33">
        <f t="shared" si="10"/>
        <v>0</v>
      </c>
      <c r="F54" s="33"/>
      <c r="G54" s="33">
        <f>SUM('Школы БУ'!G54+'Школы АУ'!G54)</f>
        <v>0</v>
      </c>
      <c r="H54" s="33">
        <f>SUM('Школы БУ'!H54+'Школы АУ'!H54)</f>
        <v>0</v>
      </c>
      <c r="I54" s="33">
        <f>SUM('Школы БУ'!I54+'Школы АУ'!I54)</f>
        <v>0</v>
      </c>
      <c r="J54" s="33">
        <f>SUM('Школы БУ'!J54+'Школы АУ'!J54)</f>
        <v>0</v>
      </c>
      <c r="K54" s="33">
        <f>SUM('Школы БУ'!K54+'Школы АУ'!K54)</f>
        <v>0</v>
      </c>
      <c r="L54" s="33">
        <f>SUM('Школы БУ'!L54+'Школы АУ'!L54)</f>
        <v>0</v>
      </c>
      <c r="M54" s="33">
        <f>SUM('Школы БУ'!M54+'Школы АУ'!M54)</f>
        <v>0</v>
      </c>
      <c r="N54" s="33">
        <f>SUM('Школы БУ'!N54+'Школы АУ'!N54)</f>
        <v>0</v>
      </c>
      <c r="O54" s="33">
        <f>SUM('Школы БУ'!O54+'Школы АУ'!O54)</f>
        <v>0</v>
      </c>
      <c r="P54" s="33">
        <f>SUM('Школы БУ'!P54+'Школы АУ'!P54)</f>
        <v>0</v>
      </c>
      <c r="Q54" s="33">
        <f>SUM('Школы БУ'!Q54+'Школы АУ'!Q54)</f>
        <v>0</v>
      </c>
      <c r="R54" s="33">
        <f>SUM('Школы БУ'!R54+'Школы АУ'!R54)</f>
        <v>0</v>
      </c>
      <c r="S54" s="33">
        <f>SUM('Школы БУ'!S54+'Школы АУ'!S54)</f>
        <v>0</v>
      </c>
      <c r="T54" s="33">
        <f>SUM('Школы БУ'!T54+'Школы АУ'!T54)</f>
        <v>0</v>
      </c>
    </row>
    <row r="55" spans="1:20" s="22" customFormat="1" ht="16.5" x14ac:dyDescent="0.25">
      <c r="A55" s="50" t="s">
        <v>56</v>
      </c>
      <c r="B55" s="28" t="s">
        <v>57</v>
      </c>
      <c r="C55" s="55">
        <v>223</v>
      </c>
      <c r="D55" s="33">
        <f t="shared" si="9"/>
        <v>183897415.84999999</v>
      </c>
      <c r="E55" s="33">
        <f t="shared" si="10"/>
        <v>103833379.65000001</v>
      </c>
      <c r="F55" s="33"/>
      <c r="G55" s="33">
        <f>SUM('Школы БУ'!G55+'Школы АУ'!G55)</f>
        <v>183897415.84999999</v>
      </c>
      <c r="H55" s="33">
        <f>SUM('Школы БУ'!H55+'Школы АУ'!H55)</f>
        <v>103833379.65000001</v>
      </c>
      <c r="I55" s="33">
        <f>SUM('Школы БУ'!I55+'Школы АУ'!I55)</f>
        <v>0</v>
      </c>
      <c r="J55" s="33">
        <f>SUM('Школы БУ'!J55+'Школы АУ'!J55)</f>
        <v>0</v>
      </c>
      <c r="K55" s="33">
        <f>SUM('Школы БУ'!K55+'Школы АУ'!K55)</f>
        <v>0</v>
      </c>
      <c r="L55" s="33">
        <f>SUM('Школы БУ'!L55+'Школы АУ'!L55)</f>
        <v>0</v>
      </c>
      <c r="M55" s="33">
        <f>SUM('Школы БУ'!M55+'Школы АУ'!M55)</f>
        <v>0</v>
      </c>
      <c r="N55" s="33">
        <f>SUM('Школы БУ'!N55+'Школы АУ'!N55)</f>
        <v>0</v>
      </c>
      <c r="O55" s="33">
        <f>SUM('Школы БУ'!O55+'Школы АУ'!O55)</f>
        <v>0</v>
      </c>
      <c r="P55" s="33">
        <f>SUM('Школы БУ'!P55+'Школы АУ'!P55)</f>
        <v>0</v>
      </c>
      <c r="Q55" s="33">
        <f>SUM('Школы БУ'!Q55+'Школы АУ'!Q55)</f>
        <v>0</v>
      </c>
      <c r="R55" s="33">
        <f>SUM('Школы БУ'!R55+'Школы АУ'!R55)</f>
        <v>0</v>
      </c>
      <c r="S55" s="33">
        <f>SUM('Школы БУ'!S55+'Школы АУ'!S55)</f>
        <v>0</v>
      </c>
      <c r="T55" s="33">
        <f>SUM('Школы БУ'!T55+'Школы АУ'!T55)</f>
        <v>0</v>
      </c>
    </row>
    <row r="56" spans="1:20" s="22" customFormat="1" ht="16.5" x14ac:dyDescent="0.25">
      <c r="A56" s="50"/>
      <c r="B56" s="28" t="s">
        <v>58</v>
      </c>
      <c r="C56" s="55">
        <v>223</v>
      </c>
      <c r="D56" s="33">
        <f t="shared" si="9"/>
        <v>120677916.84999999</v>
      </c>
      <c r="E56" s="33">
        <f t="shared" si="10"/>
        <v>82103264.039999992</v>
      </c>
      <c r="F56" s="33"/>
      <c r="G56" s="33">
        <f>SUM('Школы БУ'!G56+'Школы АУ'!G56)</f>
        <v>120677916.84999999</v>
      </c>
      <c r="H56" s="33">
        <f>SUM('Школы БУ'!H56+'Школы АУ'!H56)</f>
        <v>82103264.039999992</v>
      </c>
      <c r="I56" s="33">
        <f>SUM('Школы БУ'!I56+'Школы АУ'!I56)</f>
        <v>0</v>
      </c>
      <c r="J56" s="33">
        <f>SUM('Школы БУ'!J56+'Школы АУ'!J56)</f>
        <v>0</v>
      </c>
      <c r="K56" s="33">
        <f>SUM('Школы БУ'!K56+'Школы АУ'!K56)</f>
        <v>0</v>
      </c>
      <c r="L56" s="33">
        <f>SUM('Школы БУ'!L56+'Школы АУ'!L56)</f>
        <v>0</v>
      </c>
      <c r="M56" s="33">
        <f>SUM('Школы БУ'!M56+'Школы АУ'!M56)</f>
        <v>0</v>
      </c>
      <c r="N56" s="33">
        <f>SUM('Школы БУ'!N56+'Школы АУ'!N56)</f>
        <v>0</v>
      </c>
      <c r="O56" s="33">
        <f>SUM('Школы БУ'!O56+'Школы АУ'!O56)</f>
        <v>0</v>
      </c>
      <c r="P56" s="33">
        <f>SUM('Школы БУ'!P56+'Школы АУ'!P56)</f>
        <v>0</v>
      </c>
      <c r="Q56" s="33">
        <f>SUM('Школы БУ'!Q56+'Школы АУ'!Q56)</f>
        <v>0</v>
      </c>
      <c r="R56" s="33">
        <f>SUM('Школы БУ'!R56+'Школы АУ'!R56)</f>
        <v>0</v>
      </c>
      <c r="S56" s="33">
        <f>SUM('Школы БУ'!S56+'Школы АУ'!S56)</f>
        <v>0</v>
      </c>
      <c r="T56" s="33">
        <f>SUM('Школы БУ'!T56+'Школы АУ'!T56)</f>
        <v>0</v>
      </c>
    </row>
    <row r="57" spans="1:20" s="22" customFormat="1" ht="16.5" x14ac:dyDescent="0.25">
      <c r="A57" s="50"/>
      <c r="B57" s="28" t="s">
        <v>59</v>
      </c>
      <c r="C57" s="55">
        <v>223</v>
      </c>
      <c r="D57" s="33">
        <f t="shared" si="9"/>
        <v>45668941</v>
      </c>
      <c r="E57" s="33">
        <f t="shared" si="10"/>
        <v>16134560.899999999</v>
      </c>
      <c r="F57" s="33"/>
      <c r="G57" s="33">
        <f>SUM('Школы БУ'!G57+'Школы АУ'!G57)</f>
        <v>45668941</v>
      </c>
      <c r="H57" s="33">
        <f>SUM('Школы БУ'!H57+'Школы АУ'!H57)</f>
        <v>16134560.899999999</v>
      </c>
      <c r="I57" s="33">
        <f>SUM('Школы БУ'!I57+'Школы АУ'!I57)</f>
        <v>0</v>
      </c>
      <c r="J57" s="33">
        <f>SUM('Школы БУ'!J57+'Школы АУ'!J57)</f>
        <v>0</v>
      </c>
      <c r="K57" s="33">
        <f>SUM('Школы БУ'!K57+'Школы АУ'!K57)</f>
        <v>0</v>
      </c>
      <c r="L57" s="33">
        <f>SUM('Школы БУ'!L57+'Школы АУ'!L57)</f>
        <v>0</v>
      </c>
      <c r="M57" s="33">
        <f>SUM('Школы БУ'!M57+'Школы АУ'!M57)</f>
        <v>0</v>
      </c>
      <c r="N57" s="33">
        <f>SUM('Школы БУ'!N57+'Школы АУ'!N57)</f>
        <v>0</v>
      </c>
      <c r="O57" s="33">
        <f>SUM('Школы БУ'!O57+'Школы АУ'!O57)</f>
        <v>0</v>
      </c>
      <c r="P57" s="33">
        <f>SUM('Школы БУ'!P57+'Школы АУ'!P57)</f>
        <v>0</v>
      </c>
      <c r="Q57" s="33">
        <f>SUM('Школы БУ'!Q57+'Школы АУ'!Q57)</f>
        <v>0</v>
      </c>
      <c r="R57" s="33">
        <f>SUM('Школы БУ'!R57+'Школы АУ'!R57)</f>
        <v>0</v>
      </c>
      <c r="S57" s="33">
        <f>SUM('Школы БУ'!S57+'Школы АУ'!S57)</f>
        <v>0</v>
      </c>
      <c r="T57" s="33">
        <f>SUM('Школы БУ'!T57+'Школы АУ'!T57)</f>
        <v>0</v>
      </c>
    </row>
    <row r="58" spans="1:20" s="22" customFormat="1" ht="16.5" x14ac:dyDescent="0.25">
      <c r="A58" s="50"/>
      <c r="B58" s="28" t="s">
        <v>60</v>
      </c>
      <c r="C58" s="55">
        <v>223</v>
      </c>
      <c r="D58" s="33">
        <f t="shared" si="9"/>
        <v>17550558</v>
      </c>
      <c r="E58" s="33">
        <f t="shared" si="10"/>
        <v>5595554.71</v>
      </c>
      <c r="F58" s="33"/>
      <c r="G58" s="33">
        <f>SUM('Школы БУ'!G58+'Школы АУ'!G58)</f>
        <v>17550558</v>
      </c>
      <c r="H58" s="33">
        <f>SUM('Школы БУ'!H58+'Школы АУ'!H58)</f>
        <v>5595554.71</v>
      </c>
      <c r="I58" s="33">
        <f>SUM('Школы БУ'!I58+'Школы АУ'!I58)</f>
        <v>0</v>
      </c>
      <c r="J58" s="33">
        <f>SUM('Школы БУ'!J58+'Школы АУ'!J58)</f>
        <v>0</v>
      </c>
      <c r="K58" s="33">
        <f>SUM('Школы БУ'!K58+'Школы АУ'!K58)</f>
        <v>0</v>
      </c>
      <c r="L58" s="33">
        <f>SUM('Школы БУ'!L58+'Школы АУ'!L58)</f>
        <v>0</v>
      </c>
      <c r="M58" s="33">
        <f>SUM('Школы БУ'!M58+'Школы АУ'!M58)</f>
        <v>0</v>
      </c>
      <c r="N58" s="33">
        <f>SUM('Школы БУ'!N58+'Школы АУ'!N58)</f>
        <v>0</v>
      </c>
      <c r="O58" s="33">
        <f>SUM('Школы БУ'!O58+'Школы АУ'!O58)</f>
        <v>0</v>
      </c>
      <c r="P58" s="33">
        <f>SUM('Школы БУ'!P58+'Школы АУ'!P58)</f>
        <v>0</v>
      </c>
      <c r="Q58" s="33">
        <f>SUM('Школы БУ'!Q58+'Школы АУ'!Q58)</f>
        <v>0</v>
      </c>
      <c r="R58" s="33">
        <f>SUM('Школы БУ'!R58+'Школы АУ'!R58)</f>
        <v>0</v>
      </c>
      <c r="S58" s="33">
        <f>SUM('Школы БУ'!S58+'Школы АУ'!S58)</f>
        <v>0</v>
      </c>
      <c r="T58" s="33">
        <f>SUM('Школы БУ'!T58+'Школы АУ'!T58)</f>
        <v>0</v>
      </c>
    </row>
    <row r="59" spans="1:20" s="22" customFormat="1" ht="16.5" x14ac:dyDescent="0.25">
      <c r="A59" s="52" t="s">
        <v>61</v>
      </c>
      <c r="B59" s="28" t="s">
        <v>62</v>
      </c>
      <c r="C59" s="55">
        <v>224</v>
      </c>
      <c r="D59" s="33">
        <f t="shared" si="9"/>
        <v>0</v>
      </c>
      <c r="E59" s="33">
        <f t="shared" si="10"/>
        <v>0</v>
      </c>
      <c r="F59" s="33"/>
      <c r="G59" s="33">
        <f>SUM('Школы БУ'!G59+'Школы АУ'!G59)</f>
        <v>0</v>
      </c>
      <c r="H59" s="33">
        <f>SUM('Школы БУ'!H59+'Школы АУ'!H59)</f>
        <v>0</v>
      </c>
      <c r="I59" s="33">
        <f>SUM('Школы БУ'!I59+'Школы АУ'!I59)</f>
        <v>0</v>
      </c>
      <c r="J59" s="33">
        <f>SUM('Школы БУ'!J59+'Школы АУ'!J59)</f>
        <v>0</v>
      </c>
      <c r="K59" s="33">
        <f>SUM('Школы БУ'!K59+'Школы АУ'!K59)</f>
        <v>0</v>
      </c>
      <c r="L59" s="33">
        <f>SUM('Школы БУ'!L59+'Школы АУ'!L59)</f>
        <v>0</v>
      </c>
      <c r="M59" s="33">
        <f>SUM('Школы БУ'!M59+'Школы АУ'!M59)</f>
        <v>0</v>
      </c>
      <c r="N59" s="33">
        <f>SUM('Школы БУ'!N59+'Школы АУ'!N59)</f>
        <v>0</v>
      </c>
      <c r="O59" s="33">
        <f>SUM('Школы БУ'!O59+'Школы АУ'!O59)</f>
        <v>0</v>
      </c>
      <c r="P59" s="33">
        <f>SUM('Школы БУ'!P59+'Школы АУ'!P59)</f>
        <v>0</v>
      </c>
      <c r="Q59" s="33">
        <f>SUM('Школы БУ'!Q59+'Школы АУ'!Q59)</f>
        <v>0</v>
      </c>
      <c r="R59" s="33">
        <f>SUM('Школы БУ'!R59+'Школы АУ'!R59)</f>
        <v>0</v>
      </c>
      <c r="S59" s="33">
        <f>SUM('Школы БУ'!S59+'Школы АУ'!S59)</f>
        <v>0</v>
      </c>
      <c r="T59" s="33">
        <f>SUM('Школы БУ'!T59+'Школы АУ'!T59)</f>
        <v>0</v>
      </c>
    </row>
    <row r="60" spans="1:20" s="22" customFormat="1" ht="16.5" x14ac:dyDescent="0.25">
      <c r="A60" s="52" t="s">
        <v>63</v>
      </c>
      <c r="B60" s="28" t="s">
        <v>64</v>
      </c>
      <c r="C60" s="55">
        <v>225</v>
      </c>
      <c r="D60" s="33">
        <f t="shared" si="9"/>
        <v>30693584</v>
      </c>
      <c r="E60" s="33">
        <f t="shared" si="10"/>
        <v>6294121.3499999996</v>
      </c>
      <c r="F60" s="33"/>
      <c r="G60" s="33">
        <f>SUM('Школы БУ'!G60+'Школы АУ'!G60)</f>
        <v>27693584</v>
      </c>
      <c r="H60" s="33">
        <f>SUM('Школы БУ'!H60+'Школы АУ'!H60)</f>
        <v>5316065.55</v>
      </c>
      <c r="I60" s="33">
        <f>SUM('Школы БУ'!I60+'Школы АУ'!I60)</f>
        <v>3000000</v>
      </c>
      <c r="J60" s="33">
        <f>SUM('Школы БУ'!J60+'Школы АУ'!J60)</f>
        <v>978055.8</v>
      </c>
      <c r="K60" s="33">
        <f>SUM('Школы БУ'!K60+'Школы АУ'!K60)</f>
        <v>0</v>
      </c>
      <c r="L60" s="33">
        <f>SUM('Школы БУ'!L60+'Школы АУ'!L60)</f>
        <v>0</v>
      </c>
      <c r="M60" s="33">
        <f>SUM('Школы БУ'!M60+'Школы АУ'!M60)</f>
        <v>0</v>
      </c>
      <c r="N60" s="33">
        <f>SUM('Школы БУ'!N60+'Школы АУ'!N60)</f>
        <v>0</v>
      </c>
      <c r="O60" s="33">
        <f>SUM('Школы БУ'!O60+'Школы АУ'!O60)</f>
        <v>0</v>
      </c>
      <c r="P60" s="33">
        <f>SUM('Школы БУ'!P60+'Школы АУ'!P60)</f>
        <v>0</v>
      </c>
      <c r="Q60" s="33">
        <f>SUM('Школы БУ'!Q60+'Школы АУ'!Q60)</f>
        <v>0</v>
      </c>
      <c r="R60" s="33">
        <f>SUM('Школы БУ'!R60+'Школы АУ'!R60)</f>
        <v>0</v>
      </c>
      <c r="S60" s="33">
        <f>SUM('Школы БУ'!S60+'Школы АУ'!S60)</f>
        <v>0</v>
      </c>
      <c r="T60" s="33">
        <f>SUM('Школы БУ'!T60+'Школы АУ'!T60)</f>
        <v>0</v>
      </c>
    </row>
    <row r="61" spans="1:20" s="22" customFormat="1" ht="16.5" x14ac:dyDescent="0.25">
      <c r="A61" s="52" t="s">
        <v>65</v>
      </c>
      <c r="B61" s="28" t="s">
        <v>66</v>
      </c>
      <c r="C61" s="55">
        <v>226</v>
      </c>
      <c r="D61" s="33">
        <f t="shared" si="9"/>
        <v>55369380</v>
      </c>
      <c r="E61" s="33">
        <f t="shared" si="10"/>
        <v>16284422.529999999</v>
      </c>
      <c r="F61" s="33"/>
      <c r="G61" s="33">
        <f>SUM('Школы БУ'!G61+'Школы АУ'!G61)</f>
        <v>33837360</v>
      </c>
      <c r="H61" s="33">
        <f>SUM('Школы БУ'!H61+'Школы АУ'!H61)</f>
        <v>8936367.8200000003</v>
      </c>
      <c r="I61" s="33">
        <f>SUM('Школы БУ'!I61+'Школы АУ'!I61)</f>
        <v>0</v>
      </c>
      <c r="J61" s="33">
        <f>SUM('Школы БУ'!J61+'Школы АУ'!J61)</f>
        <v>57083.94</v>
      </c>
      <c r="K61" s="33">
        <f>SUM('Школы БУ'!K61+'Школы АУ'!K61)</f>
        <v>0</v>
      </c>
      <c r="L61" s="33">
        <f>SUM('Школы БУ'!L61+'Школы АУ'!L61)</f>
        <v>0</v>
      </c>
      <c r="M61" s="33">
        <f>SUM('Школы БУ'!M61+'Школы АУ'!M61)</f>
        <v>0</v>
      </c>
      <c r="N61" s="33">
        <f>SUM('Школы БУ'!N61+'Школы АУ'!N61)</f>
        <v>0</v>
      </c>
      <c r="O61" s="33">
        <f>SUM('Школы БУ'!O61+'Школы АУ'!O61)</f>
        <v>21532020</v>
      </c>
      <c r="P61" s="33">
        <f>SUM('Школы БУ'!P61+'Школы АУ'!P61)</f>
        <v>7290970.7699999996</v>
      </c>
      <c r="Q61" s="33">
        <f>SUM('Школы БУ'!Q61+'Школы АУ'!Q61)</f>
        <v>0</v>
      </c>
      <c r="R61" s="33">
        <f>SUM('Школы БУ'!R61+'Школы АУ'!R61)</f>
        <v>0</v>
      </c>
      <c r="S61" s="33">
        <f>SUM('Школы БУ'!S61+'Школы АУ'!S61)</f>
        <v>0</v>
      </c>
      <c r="T61" s="33">
        <f>SUM('Школы БУ'!T61+'Школы АУ'!T61)</f>
        <v>0</v>
      </c>
    </row>
    <row r="62" spans="1:20" s="22" customFormat="1" ht="16.5" x14ac:dyDescent="0.25">
      <c r="A62" s="52"/>
      <c r="B62" s="28" t="s">
        <v>75</v>
      </c>
      <c r="C62" s="55">
        <v>226</v>
      </c>
      <c r="D62" s="33">
        <f t="shared" si="9"/>
        <v>35010420</v>
      </c>
      <c r="E62" s="33">
        <f t="shared" si="10"/>
        <v>11380895.789999999</v>
      </c>
      <c r="F62" s="33"/>
      <c r="G62" s="33">
        <f>SUM('Школы БУ'!G62+'Школы АУ'!G62)</f>
        <v>13478400</v>
      </c>
      <c r="H62" s="33">
        <f>SUM('Школы БУ'!H62+'Школы АУ'!H62)</f>
        <v>4089925.02</v>
      </c>
      <c r="I62" s="33">
        <f>SUM('Школы БУ'!I62+'Школы АУ'!I62)</f>
        <v>0</v>
      </c>
      <c r="J62" s="33">
        <f>SUM('Школы БУ'!J62+'Школы АУ'!J62)</f>
        <v>0</v>
      </c>
      <c r="K62" s="33">
        <f>SUM('Школы БУ'!K62+'Школы АУ'!K62)</f>
        <v>0</v>
      </c>
      <c r="L62" s="33">
        <f>SUM('Школы БУ'!L62+'Школы АУ'!L62)</f>
        <v>0</v>
      </c>
      <c r="M62" s="33">
        <f>SUM('Школы БУ'!M62+'Школы АУ'!M62)</f>
        <v>0</v>
      </c>
      <c r="N62" s="33">
        <f>SUM('Школы БУ'!N62+'Школы АУ'!N62)</f>
        <v>0</v>
      </c>
      <c r="O62" s="33">
        <f>SUM('Школы БУ'!O62+'Школы АУ'!O62)</f>
        <v>21532020</v>
      </c>
      <c r="P62" s="33">
        <f>SUM('Школы БУ'!P62+'Школы АУ'!P62)</f>
        <v>7290970.7699999996</v>
      </c>
      <c r="Q62" s="33">
        <f>SUM('Школы БУ'!Q62+'Школы АУ'!Q62)</f>
        <v>0</v>
      </c>
      <c r="R62" s="33">
        <f>SUM('Школы БУ'!R62+'Школы АУ'!R62)</f>
        <v>0</v>
      </c>
      <c r="S62" s="33">
        <f>SUM('Школы БУ'!S62+'Школы АУ'!S62)</f>
        <v>0</v>
      </c>
      <c r="T62" s="33">
        <f>SUM('Школы БУ'!T62+'Школы АУ'!T62)</f>
        <v>0</v>
      </c>
    </row>
    <row r="63" spans="1:20" s="22" customFormat="1" ht="16.5" x14ac:dyDescent="0.25">
      <c r="A63" s="52"/>
      <c r="B63" s="28" t="s">
        <v>285</v>
      </c>
      <c r="C63" s="55">
        <v>226</v>
      </c>
      <c r="D63" s="33">
        <f t="shared" si="9"/>
        <v>20358960</v>
      </c>
      <c r="E63" s="33">
        <f t="shared" si="10"/>
        <v>4903526.7400000012</v>
      </c>
      <c r="F63" s="33"/>
      <c r="G63" s="33">
        <f>SUM('Школы БУ'!G63+'Школы АУ'!G63)</f>
        <v>20358960</v>
      </c>
      <c r="H63" s="33">
        <f>SUM('Школы БУ'!H63+'Школы АУ'!H63)</f>
        <v>4846442.8000000007</v>
      </c>
      <c r="I63" s="33">
        <f>SUM('Школы БУ'!I63+'Школы АУ'!I63)</f>
        <v>0</v>
      </c>
      <c r="J63" s="33">
        <f>SUM('Школы БУ'!J63+'Школы АУ'!J63)</f>
        <v>57083.94</v>
      </c>
      <c r="K63" s="33">
        <f>SUM('Школы БУ'!K63+'Школы АУ'!K63)</f>
        <v>0</v>
      </c>
      <c r="L63" s="33">
        <f>SUM('Школы БУ'!L63+'Школы АУ'!L63)</f>
        <v>0</v>
      </c>
      <c r="M63" s="33">
        <f>SUM('Школы БУ'!M63+'Школы АУ'!M63)</f>
        <v>0</v>
      </c>
      <c r="N63" s="33">
        <f>SUM('Школы БУ'!N63+'Школы АУ'!N63)</f>
        <v>0</v>
      </c>
      <c r="O63" s="33">
        <f>SUM('Школы БУ'!O63+'Школы АУ'!O63)</f>
        <v>0</v>
      </c>
      <c r="P63" s="33">
        <f>SUM('Школы БУ'!P63+'Школы АУ'!P63)</f>
        <v>0</v>
      </c>
      <c r="Q63" s="33">
        <f>SUM('Школы БУ'!Q63+'Школы АУ'!Q63)</f>
        <v>0</v>
      </c>
      <c r="R63" s="33">
        <f>SUM('Школы БУ'!R63+'Школы АУ'!R63)</f>
        <v>0</v>
      </c>
      <c r="S63" s="33">
        <f>SUM('Школы БУ'!S63+'Школы АУ'!S63)</f>
        <v>0</v>
      </c>
      <c r="T63" s="33">
        <f>SUM('Школы БУ'!T63+'Школы АУ'!T63)</f>
        <v>0</v>
      </c>
    </row>
    <row r="64" spans="1:20" s="22" customFormat="1" ht="16.5" x14ac:dyDescent="0.25">
      <c r="A64" s="52" t="s">
        <v>67</v>
      </c>
      <c r="B64" s="28" t="s">
        <v>68</v>
      </c>
      <c r="C64" s="55">
        <v>290</v>
      </c>
      <c r="D64" s="33">
        <f t="shared" si="9"/>
        <v>0</v>
      </c>
      <c r="E64" s="33">
        <f t="shared" si="10"/>
        <v>0</v>
      </c>
      <c r="F64" s="33"/>
      <c r="G64" s="33">
        <f>SUM('Школы БУ'!G64+'Школы АУ'!G64)</f>
        <v>0</v>
      </c>
      <c r="H64" s="33">
        <f>SUM('Школы БУ'!H64+'Школы АУ'!H64)</f>
        <v>0</v>
      </c>
      <c r="I64" s="33">
        <f>SUM('Школы БУ'!I64+'Школы АУ'!I64)</f>
        <v>0</v>
      </c>
      <c r="J64" s="33">
        <f>SUM('Школы БУ'!J64+'Школы АУ'!J64)</f>
        <v>0</v>
      </c>
      <c r="K64" s="33">
        <f>SUM('Школы БУ'!K64+'Школы АУ'!K64)</f>
        <v>0</v>
      </c>
      <c r="L64" s="33">
        <f>SUM('Школы БУ'!L64+'Школы АУ'!L64)</f>
        <v>0</v>
      </c>
      <c r="M64" s="33">
        <f>SUM('Школы БУ'!M64+'Школы АУ'!M64)</f>
        <v>0</v>
      </c>
      <c r="N64" s="33">
        <f>SUM('Школы БУ'!N64+'Школы АУ'!N64)</f>
        <v>0</v>
      </c>
      <c r="O64" s="33">
        <f>SUM('Школы БУ'!O64+'Школы АУ'!O64)</f>
        <v>0</v>
      </c>
      <c r="P64" s="33">
        <f>SUM('Школы БУ'!P64+'Школы АУ'!P64)</f>
        <v>0</v>
      </c>
      <c r="Q64" s="33">
        <f>SUM('Школы БУ'!Q64+'Школы АУ'!Q64)</f>
        <v>0</v>
      </c>
      <c r="R64" s="33">
        <f>SUM('Школы БУ'!R64+'Школы АУ'!R64)</f>
        <v>0</v>
      </c>
      <c r="S64" s="33">
        <f>SUM('Школы БУ'!S64+'Школы АУ'!S64)</f>
        <v>0</v>
      </c>
      <c r="T64" s="33">
        <f>SUM('Школы БУ'!T64+'Школы АУ'!T64)</f>
        <v>0</v>
      </c>
    </row>
    <row r="65" spans="1:20" s="22" customFormat="1" ht="16.5" x14ac:dyDescent="0.25">
      <c r="A65" s="52" t="s">
        <v>69</v>
      </c>
      <c r="B65" s="28" t="s">
        <v>70</v>
      </c>
      <c r="C65" s="55">
        <v>310</v>
      </c>
      <c r="D65" s="33">
        <f t="shared" si="9"/>
        <v>44039265</v>
      </c>
      <c r="E65" s="33">
        <f t="shared" si="10"/>
        <v>8448201.6999999993</v>
      </c>
      <c r="F65" s="33"/>
      <c r="G65" s="33">
        <f>SUM('Школы БУ'!G65+'Школы АУ'!G65)</f>
        <v>0</v>
      </c>
      <c r="H65" s="33">
        <f>SUM('Школы БУ'!H65+'Школы АУ'!H65)</f>
        <v>72000</v>
      </c>
      <c r="I65" s="33">
        <f>SUM('Школы БУ'!I65+'Школы АУ'!I65)</f>
        <v>44026100</v>
      </c>
      <c r="J65" s="33">
        <f>SUM('Школы БУ'!J65+'Школы АУ'!J65)</f>
        <v>8376201.7000000002</v>
      </c>
      <c r="K65" s="33">
        <f>SUM('Школы БУ'!K65+'Школы АУ'!K65)</f>
        <v>13165</v>
      </c>
      <c r="L65" s="33">
        <f>SUM('Школы БУ'!L65+'Школы АУ'!L65)</f>
        <v>0</v>
      </c>
      <c r="M65" s="33">
        <f>SUM('Школы БУ'!M65+'Школы АУ'!M65)</f>
        <v>0</v>
      </c>
      <c r="N65" s="33">
        <f>SUM('Школы БУ'!N65+'Школы АУ'!N65)</f>
        <v>0</v>
      </c>
      <c r="O65" s="33">
        <f>SUM('Школы БУ'!O65+'Школы АУ'!O65)</f>
        <v>0</v>
      </c>
      <c r="P65" s="33">
        <f>SUM('Школы БУ'!P65+'Школы АУ'!P65)</f>
        <v>0</v>
      </c>
      <c r="Q65" s="33">
        <f>SUM('Школы БУ'!Q65+'Школы АУ'!Q65)</f>
        <v>0</v>
      </c>
      <c r="R65" s="33">
        <f>SUM('Школы БУ'!R65+'Школы АУ'!R65)</f>
        <v>0</v>
      </c>
      <c r="S65" s="33">
        <f>SUM('Школы БУ'!S65+'Школы АУ'!S65)</f>
        <v>0</v>
      </c>
      <c r="T65" s="33">
        <f>SUM('Школы БУ'!T65+'Школы АУ'!T65)</f>
        <v>0</v>
      </c>
    </row>
    <row r="66" spans="1:20" s="22" customFormat="1" ht="16.5" x14ac:dyDescent="0.25">
      <c r="A66" s="52"/>
      <c r="B66" s="28" t="s">
        <v>71</v>
      </c>
      <c r="C66" s="55">
        <v>310</v>
      </c>
      <c r="D66" s="33">
        <f t="shared" si="9"/>
        <v>32094000</v>
      </c>
      <c r="E66" s="33">
        <f t="shared" si="10"/>
        <v>1804498.58</v>
      </c>
      <c r="F66" s="33"/>
      <c r="G66" s="33">
        <f>SUM('Школы БУ'!G66+'Школы АУ'!G66)</f>
        <v>0</v>
      </c>
      <c r="H66" s="33">
        <f>SUM('Школы БУ'!H66+'Школы АУ'!H66)</f>
        <v>0</v>
      </c>
      <c r="I66" s="33">
        <f>SUM('Школы БУ'!I66+'Школы АУ'!I66)</f>
        <v>32094000</v>
      </c>
      <c r="J66" s="33">
        <f>SUM('Школы БУ'!J66+'Школы АУ'!J66)</f>
        <v>1804498.58</v>
      </c>
      <c r="K66" s="33">
        <f>SUM('Школы БУ'!K66+'Школы АУ'!K66)</f>
        <v>0</v>
      </c>
      <c r="L66" s="33">
        <f>SUM('Школы БУ'!L66+'Школы АУ'!L66)</f>
        <v>0</v>
      </c>
      <c r="M66" s="33">
        <f>SUM('Школы БУ'!M66+'Школы АУ'!M66)</f>
        <v>0</v>
      </c>
      <c r="N66" s="33">
        <f>SUM('Школы БУ'!N66+'Школы АУ'!N66)</f>
        <v>0</v>
      </c>
      <c r="O66" s="33">
        <f>SUM('Школы БУ'!O66+'Школы АУ'!O66)</f>
        <v>0</v>
      </c>
      <c r="P66" s="33">
        <f>SUM('Школы БУ'!P66+'Школы АУ'!P66)</f>
        <v>0</v>
      </c>
      <c r="Q66" s="33">
        <f>SUM('Школы БУ'!Q66+'Школы АУ'!Q66)</f>
        <v>0</v>
      </c>
      <c r="R66" s="33">
        <f>SUM('Школы БУ'!R66+'Школы АУ'!R66)</f>
        <v>0</v>
      </c>
      <c r="S66" s="33">
        <f>SUM('Школы БУ'!S66+'Школы АУ'!S66)</f>
        <v>0</v>
      </c>
      <c r="T66" s="33">
        <f>SUM('Школы БУ'!T66+'Школы АУ'!T66)</f>
        <v>0</v>
      </c>
    </row>
    <row r="67" spans="1:20" s="22" customFormat="1" ht="16.5" x14ac:dyDescent="0.25">
      <c r="A67" s="52"/>
      <c r="B67" s="28" t="s">
        <v>72</v>
      </c>
      <c r="C67" s="55">
        <v>310</v>
      </c>
      <c r="D67" s="33">
        <f t="shared" si="9"/>
        <v>11945265</v>
      </c>
      <c r="E67" s="33">
        <f t="shared" si="10"/>
        <v>6643703.1200000001</v>
      </c>
      <c r="F67" s="33"/>
      <c r="G67" s="33">
        <f>SUM('Школы БУ'!G67+'Школы АУ'!G67)</f>
        <v>0</v>
      </c>
      <c r="H67" s="33">
        <f>SUM('Школы БУ'!H67+'Школы АУ'!H67)</f>
        <v>72000</v>
      </c>
      <c r="I67" s="33">
        <f>SUM('Школы БУ'!I67+'Школы АУ'!I67)</f>
        <v>11932100</v>
      </c>
      <c r="J67" s="33">
        <f>SUM('Школы БУ'!J67+'Школы АУ'!J67)</f>
        <v>6571703.1200000001</v>
      </c>
      <c r="K67" s="33">
        <f>SUM('Школы БУ'!K67+'Школы АУ'!K67)</f>
        <v>13165</v>
      </c>
      <c r="L67" s="33">
        <f>SUM('Школы БУ'!L67+'Школы АУ'!L67)</f>
        <v>0</v>
      </c>
      <c r="M67" s="33">
        <f>SUM('Школы БУ'!M67+'Школы АУ'!M67)</f>
        <v>0</v>
      </c>
      <c r="N67" s="33">
        <f>SUM('Школы БУ'!N67+'Школы АУ'!N67)</f>
        <v>0</v>
      </c>
      <c r="O67" s="33">
        <f>SUM('Школы БУ'!O67+'Школы АУ'!O67)</f>
        <v>0</v>
      </c>
      <c r="P67" s="33">
        <f>SUM('Школы БУ'!P67+'Школы АУ'!P67)</f>
        <v>0</v>
      </c>
      <c r="Q67" s="33">
        <f>SUM('Школы БУ'!Q67+'Школы АУ'!Q67)</f>
        <v>0</v>
      </c>
      <c r="R67" s="33">
        <f>SUM('Школы БУ'!R67+'Школы АУ'!R67)</f>
        <v>0</v>
      </c>
      <c r="S67" s="33">
        <f>SUM('Школы БУ'!S67+'Школы АУ'!S67)</f>
        <v>0</v>
      </c>
      <c r="T67" s="33">
        <f>SUM('Школы БУ'!T67+'Школы АУ'!T67)</f>
        <v>0</v>
      </c>
    </row>
    <row r="68" spans="1:20" s="22" customFormat="1" ht="16.5" x14ac:dyDescent="0.25">
      <c r="A68" s="52" t="s">
        <v>73</v>
      </c>
      <c r="B68" s="28" t="s">
        <v>74</v>
      </c>
      <c r="C68" s="55">
        <v>340</v>
      </c>
      <c r="D68" s="33">
        <f t="shared" si="9"/>
        <v>9372127</v>
      </c>
      <c r="E68" s="33">
        <f t="shared" si="10"/>
        <v>4124755.38</v>
      </c>
      <c r="F68" s="33"/>
      <c r="G68" s="33">
        <f>SUM('Школы БУ'!G68+'Школы АУ'!G68)</f>
        <v>4514064</v>
      </c>
      <c r="H68" s="33">
        <f>SUM('Школы БУ'!H68+'Школы АУ'!H68)</f>
        <v>1448670.17</v>
      </c>
      <c r="I68" s="33">
        <f>SUM('Школы БУ'!I68+'Школы АУ'!I68)</f>
        <v>900000</v>
      </c>
      <c r="J68" s="33">
        <f>SUM('Школы БУ'!J68+'Школы АУ'!J68)</f>
        <v>1319625.21</v>
      </c>
      <c r="K68" s="33">
        <f>SUM('Школы БУ'!K68+'Школы АУ'!K68)</f>
        <v>34603</v>
      </c>
      <c r="L68" s="33">
        <f>SUM('Школы БУ'!L68+'Школы АУ'!L68)</f>
        <v>0</v>
      </c>
      <c r="M68" s="33">
        <f>SUM('Школы БУ'!M68+'Школы АУ'!M68)</f>
        <v>0</v>
      </c>
      <c r="N68" s="33">
        <f>SUM('Школы БУ'!N68+'Школы АУ'!N68)</f>
        <v>0</v>
      </c>
      <c r="O68" s="33">
        <f>SUM('Школы БУ'!O68+'Школы АУ'!O68)</f>
        <v>3923460</v>
      </c>
      <c r="P68" s="33">
        <f>SUM('Школы БУ'!P68+'Школы АУ'!P68)</f>
        <v>1356460</v>
      </c>
      <c r="Q68" s="33">
        <f>SUM('Школы БУ'!Q68+'Школы АУ'!Q68)</f>
        <v>0</v>
      </c>
      <c r="R68" s="33">
        <f>SUM('Школы БУ'!R68+'Школы АУ'!R68)</f>
        <v>0</v>
      </c>
      <c r="S68" s="33">
        <f>SUM('Школы БУ'!S68+'Школы АУ'!S68)</f>
        <v>0</v>
      </c>
      <c r="T68" s="33">
        <f>SUM('Школы БУ'!T68+'Школы АУ'!T68)</f>
        <v>0</v>
      </c>
    </row>
    <row r="69" spans="1:20" s="22" customFormat="1" ht="16.5" x14ac:dyDescent="0.25">
      <c r="A69" s="52"/>
      <c r="B69" s="28" t="s">
        <v>75</v>
      </c>
      <c r="C69" s="55">
        <v>340</v>
      </c>
      <c r="D69" s="33">
        <f t="shared" si="9"/>
        <v>6392524</v>
      </c>
      <c r="E69" s="33">
        <f t="shared" si="10"/>
        <v>2218237.73</v>
      </c>
      <c r="F69" s="33"/>
      <c r="G69" s="33">
        <f>SUM('Школы БУ'!G69+'Школы АУ'!G69)</f>
        <v>2469064</v>
      </c>
      <c r="H69" s="33">
        <f>SUM('Школы БУ'!H69+'Школы АУ'!H69)</f>
        <v>861777.73</v>
      </c>
      <c r="I69" s="33">
        <f>SUM('Школы БУ'!I69+'Школы АУ'!I69)</f>
        <v>0</v>
      </c>
      <c r="J69" s="33">
        <f>SUM('Школы БУ'!J69+'Школы АУ'!J69)</f>
        <v>0</v>
      </c>
      <c r="K69" s="33">
        <f>SUM('Школы БУ'!K69+'Школы АУ'!K69)</f>
        <v>0</v>
      </c>
      <c r="L69" s="33">
        <f>SUM('Школы БУ'!L69+'Школы АУ'!L69)</f>
        <v>0</v>
      </c>
      <c r="M69" s="33">
        <f>SUM('Школы БУ'!M69+'Школы АУ'!M69)</f>
        <v>0</v>
      </c>
      <c r="N69" s="33">
        <f>SUM('Школы БУ'!N69+'Школы АУ'!N69)</f>
        <v>0</v>
      </c>
      <c r="O69" s="33">
        <f>SUM('Школы БУ'!O69+'Школы АУ'!O69)</f>
        <v>3923460</v>
      </c>
      <c r="P69" s="33">
        <f>SUM('Школы БУ'!P69+'Школы АУ'!P69)</f>
        <v>1356460</v>
      </c>
      <c r="Q69" s="33">
        <f>SUM('Школы БУ'!Q69+'Школы АУ'!Q69)</f>
        <v>0</v>
      </c>
      <c r="R69" s="33">
        <f>SUM('Школы БУ'!R69+'Школы АУ'!R69)</f>
        <v>0</v>
      </c>
      <c r="S69" s="33">
        <f>SUM('Школы БУ'!S69+'Школы АУ'!S69)</f>
        <v>0</v>
      </c>
      <c r="T69" s="33">
        <f>SUM('Школы БУ'!T69+'Школы АУ'!T69)</f>
        <v>0</v>
      </c>
    </row>
    <row r="70" spans="1:20" s="22" customFormat="1" ht="16.5" x14ac:dyDescent="0.25">
      <c r="A70" s="52"/>
      <c r="B70" s="28" t="s">
        <v>76</v>
      </c>
      <c r="C70" s="55">
        <v>340</v>
      </c>
      <c r="D70" s="33">
        <f t="shared" si="9"/>
        <v>934603</v>
      </c>
      <c r="E70" s="33">
        <f t="shared" si="10"/>
        <v>1319625.21</v>
      </c>
      <c r="F70" s="33"/>
      <c r="G70" s="33">
        <f>SUM('Школы БУ'!G70+'Школы АУ'!G70)</f>
        <v>0</v>
      </c>
      <c r="H70" s="33">
        <f>SUM('Школы БУ'!H70+'Школы АУ'!H70)</f>
        <v>0</v>
      </c>
      <c r="I70" s="33">
        <f>SUM('Школы БУ'!I70+'Школы АУ'!I70)</f>
        <v>900000</v>
      </c>
      <c r="J70" s="33">
        <f>SUM('Школы БУ'!J70+'Школы АУ'!J70)</f>
        <v>1319625.21</v>
      </c>
      <c r="K70" s="33">
        <f>SUM('Школы БУ'!K70+'Школы АУ'!K70)</f>
        <v>34603</v>
      </c>
      <c r="L70" s="33">
        <f>SUM('Школы БУ'!L70+'Школы АУ'!L70)</f>
        <v>0</v>
      </c>
      <c r="M70" s="33">
        <f>SUM('Школы БУ'!M70+'Школы АУ'!M70)</f>
        <v>0</v>
      </c>
      <c r="N70" s="33">
        <f>SUM('Школы БУ'!N70+'Школы АУ'!N70)</f>
        <v>0</v>
      </c>
      <c r="O70" s="33">
        <f>SUM('Школы БУ'!O70+'Школы АУ'!O70)</f>
        <v>0</v>
      </c>
      <c r="P70" s="33">
        <f>SUM('Школы БУ'!P70+'Школы АУ'!P70)</f>
        <v>0</v>
      </c>
      <c r="Q70" s="33">
        <f>SUM('Школы БУ'!Q70+'Школы АУ'!Q70)</f>
        <v>0</v>
      </c>
      <c r="R70" s="33">
        <f>SUM('Школы БУ'!R70+'Школы АУ'!R70)</f>
        <v>0</v>
      </c>
      <c r="S70" s="33">
        <f>SUM('Школы БУ'!S70+'Школы АУ'!S70)</f>
        <v>0</v>
      </c>
      <c r="T70" s="33">
        <f>SUM('Школы БУ'!T70+'Школы АУ'!T70)</f>
        <v>0</v>
      </c>
    </row>
    <row r="71" spans="1:20" s="22" customFormat="1" ht="16.5" x14ac:dyDescent="0.25">
      <c r="A71" s="52"/>
      <c r="B71" s="28" t="s">
        <v>77</v>
      </c>
      <c r="C71" s="55">
        <v>340</v>
      </c>
      <c r="D71" s="33">
        <f t="shared" si="9"/>
        <v>2045000</v>
      </c>
      <c r="E71" s="33">
        <f t="shared" si="10"/>
        <v>586892.43999999994</v>
      </c>
      <c r="F71" s="33"/>
      <c r="G71" s="33">
        <f>SUM('Школы БУ'!G71+'Школы АУ'!G71)</f>
        <v>2045000</v>
      </c>
      <c r="H71" s="33">
        <f>SUM('Школы БУ'!H71+'Школы АУ'!H71)</f>
        <v>586892.43999999994</v>
      </c>
      <c r="I71" s="33">
        <f>SUM('Школы БУ'!I71+'Школы АУ'!I71)</f>
        <v>0</v>
      </c>
      <c r="J71" s="33">
        <f>SUM('Школы БУ'!J71+'Школы АУ'!J71)</f>
        <v>0</v>
      </c>
      <c r="K71" s="33">
        <f>SUM('Школы БУ'!K71+'Школы АУ'!K71)</f>
        <v>0</v>
      </c>
      <c r="L71" s="33">
        <f>SUM('Школы БУ'!L71+'Школы АУ'!L71)</f>
        <v>0</v>
      </c>
      <c r="M71" s="33">
        <f>SUM('Школы БУ'!M71+'Школы АУ'!M71)</f>
        <v>0</v>
      </c>
      <c r="N71" s="33">
        <f>SUM('Школы БУ'!N71+'Школы АУ'!N71)</f>
        <v>0</v>
      </c>
      <c r="O71" s="33">
        <f>SUM('Школы БУ'!O71+'Школы АУ'!O71)</f>
        <v>0</v>
      </c>
      <c r="P71" s="33">
        <f>SUM('Школы БУ'!P71+'Школы АУ'!P71)</f>
        <v>0</v>
      </c>
      <c r="Q71" s="33">
        <f>SUM('Школы БУ'!Q71+'Школы АУ'!Q71)</f>
        <v>0</v>
      </c>
      <c r="R71" s="33">
        <f>SUM('Школы БУ'!R71+'Школы АУ'!R71)</f>
        <v>0</v>
      </c>
      <c r="S71" s="33">
        <f>SUM('Школы БУ'!S71+'Школы АУ'!S71)</f>
        <v>0</v>
      </c>
      <c r="T71" s="33">
        <f>SUM('Школы БУ'!T71+'Школы АУ'!T71)</f>
        <v>0</v>
      </c>
    </row>
    <row r="72" spans="1:20" s="22" customFormat="1" ht="16.5" x14ac:dyDescent="0.25">
      <c r="A72" s="52" t="s">
        <v>78</v>
      </c>
      <c r="B72" s="28" t="s">
        <v>79</v>
      </c>
      <c r="C72" s="55"/>
      <c r="D72" s="33">
        <f t="shared" si="9"/>
        <v>8460000</v>
      </c>
      <c r="E72" s="33">
        <f t="shared" si="10"/>
        <v>470866.7</v>
      </c>
      <c r="F72" s="33"/>
      <c r="G72" s="33">
        <f>SUM('Школы БУ'!G72+'Школы АУ'!G72)</f>
        <v>8460000</v>
      </c>
      <c r="H72" s="33">
        <f>SUM('Школы БУ'!H72+'Школы АУ'!H72)</f>
        <v>470866.7</v>
      </c>
      <c r="I72" s="33">
        <f>SUM('Школы БУ'!I72+'Школы АУ'!I72)</f>
        <v>0</v>
      </c>
      <c r="J72" s="33">
        <f>SUM('Школы БУ'!J72+'Школы АУ'!J72)</f>
        <v>0</v>
      </c>
      <c r="K72" s="33">
        <f>SUM('Школы БУ'!K72+'Школы АУ'!K72)</f>
        <v>0</v>
      </c>
      <c r="L72" s="33">
        <f>SUM('Школы БУ'!L72+'Школы АУ'!L72)</f>
        <v>0</v>
      </c>
      <c r="M72" s="33">
        <f>SUM('Школы БУ'!M72+'Школы АУ'!M72)</f>
        <v>0</v>
      </c>
      <c r="N72" s="33">
        <f>SUM('Школы БУ'!N72+'Школы АУ'!N72)</f>
        <v>0</v>
      </c>
      <c r="O72" s="33">
        <f>SUM('Школы БУ'!O72+'Школы АУ'!O72)</f>
        <v>0</v>
      </c>
      <c r="P72" s="33">
        <f>SUM('Школы БУ'!P72+'Школы АУ'!P72)</f>
        <v>0</v>
      </c>
      <c r="Q72" s="33">
        <f>SUM('Школы БУ'!Q72+'Школы АУ'!Q72)</f>
        <v>0</v>
      </c>
      <c r="R72" s="33">
        <f>SUM('Школы БУ'!R72+'Школы АУ'!R72)</f>
        <v>0</v>
      </c>
      <c r="S72" s="33">
        <f>SUM('Школы БУ'!S72+'Школы АУ'!S72)</f>
        <v>0</v>
      </c>
      <c r="T72" s="33">
        <f>SUM('Школы БУ'!T72+'Школы АУ'!T72)</f>
        <v>0</v>
      </c>
    </row>
    <row r="73" spans="1:20" s="22" customFormat="1" ht="16.5" x14ac:dyDescent="0.25">
      <c r="A73" s="52"/>
      <c r="B73" s="28" t="s">
        <v>66</v>
      </c>
      <c r="C73" s="55">
        <v>226</v>
      </c>
      <c r="D73" s="33">
        <f t="shared" si="9"/>
        <v>7757175</v>
      </c>
      <c r="E73" s="33">
        <f t="shared" si="10"/>
        <v>392469.5</v>
      </c>
      <c r="F73" s="33"/>
      <c r="G73" s="33">
        <f>SUM('Школы БУ'!G73+'Школы АУ'!G73)</f>
        <v>7757175</v>
      </c>
      <c r="H73" s="33">
        <f>SUM('Школы БУ'!H73+'Школы АУ'!H73)</f>
        <v>392469.5</v>
      </c>
      <c r="I73" s="33">
        <f>SUM('Школы БУ'!I73+'Школы АУ'!I73)</f>
        <v>0</v>
      </c>
      <c r="J73" s="33">
        <f>SUM('Школы БУ'!J73+'Школы АУ'!J73)</f>
        <v>0</v>
      </c>
      <c r="K73" s="33">
        <f>SUM('Школы БУ'!K73+'Школы АУ'!K73)</f>
        <v>0</v>
      </c>
      <c r="L73" s="33">
        <f>SUM('Школы БУ'!L73+'Школы АУ'!L73)</f>
        <v>0</v>
      </c>
      <c r="M73" s="33">
        <f>SUM('Школы БУ'!M73+'Школы АУ'!M73)</f>
        <v>0</v>
      </c>
      <c r="N73" s="33">
        <f>SUM('Школы БУ'!N73+'Школы АУ'!N73)</f>
        <v>0</v>
      </c>
      <c r="O73" s="33">
        <f>SUM('Школы БУ'!O73+'Школы АУ'!O73)</f>
        <v>0</v>
      </c>
      <c r="P73" s="33">
        <f>SUM('Школы БУ'!P73+'Школы АУ'!P73)</f>
        <v>0</v>
      </c>
      <c r="Q73" s="33">
        <f>SUM('Школы БУ'!Q73+'Школы АУ'!Q73)</f>
        <v>0</v>
      </c>
      <c r="R73" s="33">
        <f>SUM('Школы БУ'!R73+'Школы АУ'!R73)</f>
        <v>0</v>
      </c>
      <c r="S73" s="33">
        <f>SUM('Школы БУ'!S73+'Школы АУ'!S73)</f>
        <v>0</v>
      </c>
      <c r="T73" s="33">
        <f>SUM('Школы БУ'!T73+'Школы АУ'!T73)</f>
        <v>0</v>
      </c>
    </row>
    <row r="74" spans="1:20" s="22" customFormat="1" ht="16.5" x14ac:dyDescent="0.25">
      <c r="A74" s="52"/>
      <c r="B74" s="58" t="s">
        <v>74</v>
      </c>
      <c r="C74" s="55">
        <v>340</v>
      </c>
      <c r="D74" s="33">
        <f t="shared" si="9"/>
        <v>702825</v>
      </c>
      <c r="E74" s="33">
        <f t="shared" si="10"/>
        <v>78397.2</v>
      </c>
      <c r="F74" s="33"/>
      <c r="G74" s="33">
        <f>SUM('Школы БУ'!G74+'Школы АУ'!G74)</f>
        <v>702825</v>
      </c>
      <c r="H74" s="33">
        <f>SUM('Школы БУ'!H74+'Школы АУ'!H74)</f>
        <v>78397.2</v>
      </c>
      <c r="I74" s="33">
        <f>SUM('Школы БУ'!I74+'Школы АУ'!I74)</f>
        <v>0</v>
      </c>
      <c r="J74" s="33">
        <f>SUM('Школы БУ'!J74+'Школы АУ'!J74)</f>
        <v>0</v>
      </c>
      <c r="K74" s="33">
        <f>SUM('Школы БУ'!K74+'Школы АУ'!K74)</f>
        <v>0</v>
      </c>
      <c r="L74" s="33">
        <f>SUM('Школы БУ'!L74+'Школы АУ'!L74)</f>
        <v>0</v>
      </c>
      <c r="M74" s="33">
        <f>SUM('Школы БУ'!M74+'Школы АУ'!M74)</f>
        <v>0</v>
      </c>
      <c r="N74" s="33">
        <f>SUM('Школы БУ'!N74+'Школы АУ'!N74)</f>
        <v>0</v>
      </c>
      <c r="O74" s="33">
        <f>SUM('Школы БУ'!O74+'Школы АУ'!O74)</f>
        <v>0</v>
      </c>
      <c r="P74" s="33">
        <f>SUM('Школы БУ'!P74+'Школы АУ'!P74)</f>
        <v>0</v>
      </c>
      <c r="Q74" s="33">
        <f>SUM('Школы БУ'!Q74+'Школы АУ'!Q74)</f>
        <v>0</v>
      </c>
      <c r="R74" s="33">
        <f>SUM('Школы БУ'!R74+'Школы АУ'!R74)</f>
        <v>0</v>
      </c>
      <c r="S74" s="33">
        <f>SUM('Школы БУ'!S74+'Школы АУ'!S74)</f>
        <v>0</v>
      </c>
      <c r="T74" s="33">
        <f>SUM('Школы БУ'!T74+'Школы АУ'!T74)</f>
        <v>0</v>
      </c>
    </row>
    <row r="75" spans="1:20" s="22" customFormat="1" ht="16.5" hidden="1" x14ac:dyDescent="0.25">
      <c r="A75" s="52"/>
      <c r="B75" s="58"/>
      <c r="C75" s="55"/>
      <c r="D75" s="33">
        <f t="shared" si="9"/>
        <v>0</v>
      </c>
      <c r="E75" s="33">
        <f t="shared" si="10"/>
        <v>0</v>
      </c>
      <c r="F75" s="33"/>
      <c r="G75" s="33">
        <f>SUM('Школы БУ'!G75+'Школы АУ'!G75)</f>
        <v>0</v>
      </c>
      <c r="H75" s="33"/>
      <c r="I75" s="33">
        <f>SUM('Школы БУ'!I75+'Школы АУ'!I75)</f>
        <v>0</v>
      </c>
      <c r="J75" s="33"/>
      <c r="K75" s="33">
        <f>SUM('Школы БУ'!K75+'Школы АУ'!K75)</f>
        <v>0</v>
      </c>
      <c r="L75" s="33"/>
      <c r="M75" s="33">
        <f>SUM('Школы БУ'!M75+'Школы АУ'!M75)</f>
        <v>0</v>
      </c>
      <c r="N75" s="33"/>
      <c r="O75" s="33">
        <f>SUM('Школы БУ'!O75+'Школы АУ'!O75)</f>
        <v>0</v>
      </c>
      <c r="P75" s="33"/>
      <c r="Q75" s="33">
        <f>SUM('Школы БУ'!Q75+'Школы АУ'!Q75)</f>
        <v>0</v>
      </c>
      <c r="R75" s="33"/>
      <c r="S75" s="33">
        <f>SUM('Школы БУ'!S75+'Школы АУ'!S75)</f>
        <v>0</v>
      </c>
      <c r="T75" s="33">
        <f>SUM('Школы БУ'!T75+'Школы АУ'!T75)</f>
        <v>0</v>
      </c>
    </row>
    <row r="76" spans="1:20" s="22" customFormat="1" ht="16.5" hidden="1" x14ac:dyDescent="0.25">
      <c r="A76" s="52"/>
      <c r="B76" s="58"/>
      <c r="C76" s="55"/>
      <c r="D76" s="33">
        <f t="shared" si="9"/>
        <v>0</v>
      </c>
      <c r="E76" s="33">
        <f t="shared" si="10"/>
        <v>0</v>
      </c>
      <c r="F76" s="33"/>
      <c r="G76" s="33">
        <f>SUM('Школы БУ'!G76+'Школы АУ'!G76)</f>
        <v>0</v>
      </c>
      <c r="H76" s="33"/>
      <c r="I76" s="33">
        <f>SUM('Школы БУ'!I76+'Школы АУ'!I76)</f>
        <v>0</v>
      </c>
      <c r="J76" s="33"/>
      <c r="K76" s="33">
        <f>SUM('Школы БУ'!K76+'Школы АУ'!K76)</f>
        <v>0</v>
      </c>
      <c r="L76" s="33"/>
      <c r="M76" s="33">
        <f>SUM('Школы БУ'!M76+'Школы АУ'!M76)</f>
        <v>0</v>
      </c>
      <c r="N76" s="33"/>
      <c r="O76" s="33">
        <f>SUM('Школы БУ'!O76+'Школы АУ'!O76)</f>
        <v>0</v>
      </c>
      <c r="P76" s="33"/>
      <c r="Q76" s="33">
        <f>SUM('Школы БУ'!Q76+'Школы АУ'!Q76)</f>
        <v>0</v>
      </c>
      <c r="R76" s="33"/>
      <c r="S76" s="33">
        <f>SUM('Школы БУ'!S76+'Школы АУ'!S76)</f>
        <v>0</v>
      </c>
      <c r="T76" s="33">
        <f>SUM('Школы БУ'!T76+'Школы АУ'!T76)</f>
        <v>0</v>
      </c>
    </row>
    <row r="77" spans="1:20" s="22" customFormat="1" ht="16.5" hidden="1" x14ac:dyDescent="0.25">
      <c r="A77" s="52"/>
      <c r="B77" s="58"/>
      <c r="C77" s="55"/>
      <c r="D77" s="33">
        <f t="shared" si="9"/>
        <v>0</v>
      </c>
      <c r="E77" s="33">
        <f t="shared" si="10"/>
        <v>0</v>
      </c>
      <c r="F77" s="33"/>
      <c r="G77" s="33">
        <f>SUM('Школы БУ'!G77+'Школы АУ'!G77)</f>
        <v>0</v>
      </c>
      <c r="H77" s="33"/>
      <c r="I77" s="33">
        <f>SUM('Школы БУ'!I77+'Школы АУ'!I77)</f>
        <v>0</v>
      </c>
      <c r="J77" s="33"/>
      <c r="K77" s="33">
        <f>SUM('Школы БУ'!K77+'Школы АУ'!K77)</f>
        <v>0</v>
      </c>
      <c r="L77" s="33"/>
      <c r="M77" s="33">
        <f>SUM('Школы БУ'!M77+'Школы АУ'!M77)</f>
        <v>0</v>
      </c>
      <c r="N77" s="33"/>
      <c r="O77" s="33">
        <f>SUM('Школы БУ'!O77+'Школы АУ'!O77)</f>
        <v>0</v>
      </c>
      <c r="P77" s="33"/>
      <c r="Q77" s="33">
        <f>SUM('Школы БУ'!Q77+'Школы АУ'!Q77)</f>
        <v>0</v>
      </c>
      <c r="R77" s="33"/>
      <c r="S77" s="33">
        <f>SUM('Школы БУ'!S77+'Школы АУ'!S77)</f>
        <v>0</v>
      </c>
      <c r="T77" s="33">
        <f>SUM('Школы БУ'!T77+'Школы АУ'!T77)</f>
        <v>0</v>
      </c>
    </row>
    <row r="78" spans="1:20" s="20" customFormat="1" ht="17.25" x14ac:dyDescent="0.25">
      <c r="A78" s="59" t="s">
        <v>21</v>
      </c>
      <c r="B78" s="48" t="s">
        <v>22</v>
      </c>
      <c r="C78" s="54"/>
      <c r="D78" s="25">
        <f t="shared" ref="D78:T78" si="36">SUM(D79:D81)</f>
        <v>71142030</v>
      </c>
      <c r="E78" s="25">
        <f t="shared" si="36"/>
        <v>27660630.07</v>
      </c>
      <c r="F78" s="25"/>
      <c r="G78" s="25">
        <f t="shared" si="36"/>
        <v>71142030</v>
      </c>
      <c r="H78" s="25">
        <f t="shared" si="36"/>
        <v>27660630.07</v>
      </c>
      <c r="I78" s="25">
        <f t="shared" si="36"/>
        <v>0</v>
      </c>
      <c r="J78" s="25">
        <f t="shared" si="36"/>
        <v>0</v>
      </c>
      <c r="K78" s="25">
        <f t="shared" si="36"/>
        <v>0</v>
      </c>
      <c r="L78" s="25">
        <f t="shared" si="36"/>
        <v>0</v>
      </c>
      <c r="M78" s="25">
        <f t="shared" si="36"/>
        <v>0</v>
      </c>
      <c r="N78" s="25">
        <f t="shared" si="36"/>
        <v>0</v>
      </c>
      <c r="O78" s="25">
        <f t="shared" si="36"/>
        <v>0</v>
      </c>
      <c r="P78" s="25">
        <f t="shared" si="36"/>
        <v>0</v>
      </c>
      <c r="Q78" s="25">
        <f t="shared" si="36"/>
        <v>0</v>
      </c>
      <c r="R78" s="25">
        <f t="shared" si="36"/>
        <v>0</v>
      </c>
      <c r="S78" s="25">
        <f t="shared" si="36"/>
        <v>0</v>
      </c>
      <c r="T78" s="25">
        <f t="shared" si="36"/>
        <v>0</v>
      </c>
    </row>
    <row r="79" spans="1:20" s="22" customFormat="1" ht="16.5" x14ac:dyDescent="0.25">
      <c r="A79" s="52"/>
      <c r="B79" s="28" t="s">
        <v>80</v>
      </c>
      <c r="C79" s="55">
        <v>290</v>
      </c>
      <c r="D79" s="33">
        <f t="shared" si="9"/>
        <v>21416135</v>
      </c>
      <c r="E79" s="33">
        <f t="shared" si="10"/>
        <v>9273839</v>
      </c>
      <c r="F79" s="33"/>
      <c r="G79" s="33">
        <f>SUM('Школы БУ'!G79+'Школы АУ'!G79)</f>
        <v>21416135</v>
      </c>
      <c r="H79" s="33">
        <f>SUM('Школы БУ'!H79+'Школы АУ'!H79)</f>
        <v>9273839</v>
      </c>
      <c r="I79" s="33">
        <f>SUM('Школы БУ'!I79+'Школы АУ'!I79)</f>
        <v>0</v>
      </c>
      <c r="J79" s="33">
        <f>SUM('Школы БУ'!J79+'Школы АУ'!J79)</f>
        <v>0</v>
      </c>
      <c r="K79" s="33">
        <f>SUM('Школы БУ'!K79+'Школы АУ'!K79)</f>
        <v>0</v>
      </c>
      <c r="L79" s="33">
        <f>SUM('Школы БУ'!L79+'Школы АУ'!L79)</f>
        <v>0</v>
      </c>
      <c r="M79" s="33">
        <f>SUM('Школы БУ'!M79+'Школы АУ'!M79)</f>
        <v>0</v>
      </c>
      <c r="N79" s="33">
        <f>SUM('Школы БУ'!N79+'Школы АУ'!N79)</f>
        <v>0</v>
      </c>
      <c r="O79" s="33">
        <f>SUM('Школы БУ'!O79+'Школы АУ'!O79)</f>
        <v>0</v>
      </c>
      <c r="P79" s="33">
        <f>SUM('Школы БУ'!P79+'Школы АУ'!P79)</f>
        <v>0</v>
      </c>
      <c r="Q79" s="33">
        <f>SUM('Школы БУ'!Q79+'Школы АУ'!Q79)</f>
        <v>0</v>
      </c>
      <c r="R79" s="33">
        <f>SUM('Школы БУ'!R79+'Школы АУ'!R79)</f>
        <v>0</v>
      </c>
      <c r="S79" s="33">
        <f>SUM('Школы БУ'!S79+'Школы АУ'!S79)</f>
        <v>0</v>
      </c>
      <c r="T79" s="33">
        <f>SUM('Школы БУ'!T79+'Школы АУ'!T79)</f>
        <v>0</v>
      </c>
    </row>
    <row r="80" spans="1:20" s="22" customFormat="1" ht="16.5" x14ac:dyDescent="0.25">
      <c r="A80" s="50"/>
      <c r="B80" s="28" t="s">
        <v>81</v>
      </c>
      <c r="C80" s="55">
        <v>290</v>
      </c>
      <c r="D80" s="33">
        <f t="shared" si="9"/>
        <v>48924259</v>
      </c>
      <c r="E80" s="33">
        <f t="shared" si="10"/>
        <v>17864020.77</v>
      </c>
      <c r="F80" s="33"/>
      <c r="G80" s="33">
        <f>SUM('Школы БУ'!G80+'Школы АУ'!G80)</f>
        <v>48924259</v>
      </c>
      <c r="H80" s="33">
        <f>SUM('Школы БУ'!H80+'Школы АУ'!H80)</f>
        <v>17864020.77</v>
      </c>
      <c r="I80" s="33">
        <f>SUM('Школы БУ'!I80+'Школы АУ'!I80)</f>
        <v>0</v>
      </c>
      <c r="J80" s="33">
        <f>SUM('Школы БУ'!J80+'Школы АУ'!J80)</f>
        <v>0</v>
      </c>
      <c r="K80" s="33">
        <f>SUM('Школы БУ'!K80+'Школы АУ'!K80)</f>
        <v>0</v>
      </c>
      <c r="L80" s="33">
        <f>SUM('Школы БУ'!L80+'Школы АУ'!L80)</f>
        <v>0</v>
      </c>
      <c r="M80" s="33">
        <f>SUM('Школы БУ'!M80+'Школы АУ'!M80)</f>
        <v>0</v>
      </c>
      <c r="N80" s="33">
        <f>SUM('Школы БУ'!N80+'Школы АУ'!N80)</f>
        <v>0</v>
      </c>
      <c r="O80" s="33">
        <f>SUM('Школы БУ'!O80+'Школы АУ'!O80)</f>
        <v>0</v>
      </c>
      <c r="P80" s="33">
        <f>SUM('Школы БУ'!P80+'Школы АУ'!P80)</f>
        <v>0</v>
      </c>
      <c r="Q80" s="33">
        <f>SUM('Школы БУ'!Q80+'Школы АУ'!Q80)</f>
        <v>0</v>
      </c>
      <c r="R80" s="33">
        <f>SUM('Школы БУ'!R80+'Школы АУ'!R80)</f>
        <v>0</v>
      </c>
      <c r="S80" s="33">
        <f>SUM('Школы БУ'!S80+'Школы АУ'!S80)</f>
        <v>0</v>
      </c>
      <c r="T80" s="33">
        <f>SUM('Школы БУ'!T80+'Школы АУ'!T80)</f>
        <v>0</v>
      </c>
    </row>
    <row r="81" spans="1:20" s="22" customFormat="1" ht="16.5" x14ac:dyDescent="0.25">
      <c r="A81" s="50"/>
      <c r="B81" s="28" t="s">
        <v>82</v>
      </c>
      <c r="C81" s="55">
        <v>290</v>
      </c>
      <c r="D81" s="33">
        <f t="shared" si="9"/>
        <v>801636</v>
      </c>
      <c r="E81" s="33">
        <f t="shared" si="10"/>
        <v>522770.30000000005</v>
      </c>
      <c r="F81" s="33"/>
      <c r="G81" s="33">
        <f>SUM('Школы БУ'!G81+'Школы АУ'!G81)</f>
        <v>801636</v>
      </c>
      <c r="H81" s="33">
        <f>SUM('Школы БУ'!H81+'Школы АУ'!H81)</f>
        <v>522770.30000000005</v>
      </c>
      <c r="I81" s="33">
        <f>SUM('Школы БУ'!I81+'Школы АУ'!I81)</f>
        <v>0</v>
      </c>
      <c r="J81" s="33">
        <f>SUM('Школы БУ'!J81+'Школы АУ'!J81)</f>
        <v>0</v>
      </c>
      <c r="K81" s="33">
        <f>SUM('Школы БУ'!K81+'Школы АУ'!K81)</f>
        <v>0</v>
      </c>
      <c r="L81" s="33">
        <f>SUM('Школы БУ'!L81+'Школы АУ'!L81)</f>
        <v>0</v>
      </c>
      <c r="M81" s="33">
        <f>SUM('Школы БУ'!M81+'Школы АУ'!M81)</f>
        <v>0</v>
      </c>
      <c r="N81" s="33">
        <f>SUM('Школы БУ'!N81+'Школы АУ'!N81)</f>
        <v>0</v>
      </c>
      <c r="O81" s="33">
        <f>SUM('Школы БУ'!O81+'Школы АУ'!O81)</f>
        <v>0</v>
      </c>
      <c r="P81" s="33">
        <f>SUM('Школы БУ'!P81+'Школы АУ'!P81)</f>
        <v>0</v>
      </c>
      <c r="Q81" s="33">
        <f>SUM('Школы БУ'!Q81+'Школы АУ'!Q81)</f>
        <v>0</v>
      </c>
      <c r="R81" s="33">
        <f>SUM('Школы БУ'!R81+'Школы АУ'!R81)</f>
        <v>0</v>
      </c>
      <c r="S81" s="33">
        <f>SUM('Школы БУ'!S81+'Школы АУ'!S81)</f>
        <v>0</v>
      </c>
      <c r="T81" s="33">
        <f>SUM('Школы БУ'!T81+'Школы АУ'!T81)</f>
        <v>0</v>
      </c>
    </row>
    <row r="82" spans="1:20" s="20" customFormat="1" ht="34.5" hidden="1" x14ac:dyDescent="0.25">
      <c r="A82" s="59" t="s">
        <v>23</v>
      </c>
      <c r="B82" s="48" t="s">
        <v>24</v>
      </c>
      <c r="C82" s="54"/>
      <c r="D82" s="33">
        <f t="shared" si="9"/>
        <v>0</v>
      </c>
      <c r="E82" s="33">
        <f t="shared" si="10"/>
        <v>0</v>
      </c>
      <c r="F82" s="33"/>
      <c r="G82" s="33">
        <f>SUM('Школы БУ'!G82+'Школы АУ'!G82)</f>
        <v>0</v>
      </c>
      <c r="H82" s="25"/>
      <c r="I82" s="25">
        <f t="shared" ref="I82" si="37">SUM(I83)</f>
        <v>0</v>
      </c>
      <c r="J82" s="25"/>
      <c r="K82" s="25">
        <f>SUM(K83)</f>
        <v>0</v>
      </c>
      <c r="L82" s="25"/>
      <c r="M82" s="25">
        <f t="shared" ref="M82:T82" si="38">SUM(M83)</f>
        <v>0</v>
      </c>
      <c r="N82" s="25"/>
      <c r="O82" s="25">
        <f t="shared" si="38"/>
        <v>0</v>
      </c>
      <c r="P82" s="25"/>
      <c r="Q82" s="25">
        <f t="shared" si="38"/>
        <v>0</v>
      </c>
      <c r="R82" s="25"/>
      <c r="S82" s="25">
        <f t="shared" si="38"/>
        <v>0</v>
      </c>
      <c r="T82" s="25">
        <f t="shared" si="38"/>
        <v>0</v>
      </c>
    </row>
    <row r="83" spans="1:20" s="22" customFormat="1" ht="16.5" hidden="1" x14ac:dyDescent="0.25">
      <c r="A83" s="52"/>
      <c r="B83" s="58" t="s">
        <v>74</v>
      </c>
      <c r="C83" s="55">
        <v>340</v>
      </c>
      <c r="D83" s="33">
        <f t="shared" si="9"/>
        <v>0</v>
      </c>
      <c r="E83" s="33">
        <f t="shared" si="10"/>
        <v>0</v>
      </c>
      <c r="F83" s="33"/>
      <c r="G83" s="33">
        <f>SUM('Школы БУ'!G83+'Школы АУ'!G83)</f>
        <v>0</v>
      </c>
      <c r="H83" s="33"/>
      <c r="I83" s="33">
        <f>SUM('Школы БУ'!I83+'Школы АУ'!I83)</f>
        <v>0</v>
      </c>
      <c r="J83" s="33"/>
      <c r="K83" s="33">
        <f>SUM('Школы БУ'!K83+'Школы АУ'!K83)</f>
        <v>0</v>
      </c>
      <c r="L83" s="33"/>
      <c r="M83" s="33">
        <f>SUM('Школы БУ'!M83+'Школы АУ'!M83)</f>
        <v>0</v>
      </c>
      <c r="N83" s="33"/>
      <c r="O83" s="33">
        <f>SUM('Школы БУ'!O83+'Школы АУ'!O83)</f>
        <v>0</v>
      </c>
      <c r="P83" s="33"/>
      <c r="Q83" s="33">
        <f>SUM('Школы БУ'!Q83+'Школы АУ'!Q83)</f>
        <v>0</v>
      </c>
      <c r="R83" s="33"/>
      <c r="S83" s="33">
        <f>SUM('Школы БУ'!S83+'Школы АУ'!S83)</f>
        <v>0</v>
      </c>
      <c r="T83" s="33">
        <f>SUM('Школы БУ'!T83+'Школы АУ'!T83)</f>
        <v>0</v>
      </c>
    </row>
    <row r="84" spans="1:20" s="20" customFormat="1" ht="17.25" x14ac:dyDescent="0.25">
      <c r="A84" s="59" t="s">
        <v>25</v>
      </c>
      <c r="B84" s="48" t="s">
        <v>26</v>
      </c>
      <c r="C84" s="54"/>
      <c r="D84" s="25">
        <f t="shared" ref="D84:H84" si="39">SUM(D85+D165+D168+D174+D180)</f>
        <v>270868971.02999997</v>
      </c>
      <c r="E84" s="25">
        <f t="shared" si="39"/>
        <v>43777384.240000002</v>
      </c>
      <c r="F84" s="25"/>
      <c r="G84" s="25">
        <f t="shared" si="39"/>
        <v>270691948.94</v>
      </c>
      <c r="H84" s="25">
        <f t="shared" si="39"/>
        <v>43777384.240000002</v>
      </c>
      <c r="I84" s="25">
        <f>SUM(I85+I165+I168+I174+I180)</f>
        <v>0</v>
      </c>
      <c r="J84" s="25">
        <f t="shared" ref="J84:T84" si="40">SUM(J85+J165+J168+J174+J180)</f>
        <v>0</v>
      </c>
      <c r="K84" s="25">
        <f t="shared" si="40"/>
        <v>0</v>
      </c>
      <c r="L84" s="25">
        <f t="shared" si="40"/>
        <v>0</v>
      </c>
      <c r="M84" s="25">
        <f t="shared" si="40"/>
        <v>0</v>
      </c>
      <c r="N84" s="25">
        <f t="shared" si="40"/>
        <v>0</v>
      </c>
      <c r="O84" s="25">
        <f t="shared" si="40"/>
        <v>0</v>
      </c>
      <c r="P84" s="25">
        <f t="shared" si="40"/>
        <v>0</v>
      </c>
      <c r="Q84" s="25">
        <f t="shared" si="40"/>
        <v>177022.09</v>
      </c>
      <c r="R84" s="25">
        <f t="shared" si="40"/>
        <v>0</v>
      </c>
      <c r="S84" s="25">
        <f t="shared" si="40"/>
        <v>0</v>
      </c>
      <c r="T84" s="25">
        <f t="shared" si="40"/>
        <v>0</v>
      </c>
    </row>
    <row r="85" spans="1:20" s="20" customFormat="1" ht="51.75" x14ac:dyDescent="0.25">
      <c r="A85" s="59" t="s">
        <v>27</v>
      </c>
      <c r="B85" s="48" t="s">
        <v>83</v>
      </c>
      <c r="C85" s="25"/>
      <c r="D85" s="25">
        <f>SUM(D86+D89+D99+D118+D129+D135)+D123</f>
        <v>253882892.03</v>
      </c>
      <c r="E85" s="25">
        <f t="shared" ref="E85:T85" si="41">SUM(E86+E89+E99+E118+E129+E135)+E123</f>
        <v>39615883.210000001</v>
      </c>
      <c r="F85" s="25"/>
      <c r="G85" s="25">
        <f t="shared" si="41"/>
        <v>253705869.94</v>
      </c>
      <c r="H85" s="25">
        <f t="shared" si="41"/>
        <v>39615883.210000001</v>
      </c>
      <c r="I85" s="25">
        <f t="shared" si="41"/>
        <v>0</v>
      </c>
      <c r="J85" s="25">
        <f t="shared" si="41"/>
        <v>0</v>
      </c>
      <c r="K85" s="25">
        <f t="shared" si="41"/>
        <v>0</v>
      </c>
      <c r="L85" s="25">
        <f t="shared" si="41"/>
        <v>0</v>
      </c>
      <c r="M85" s="25">
        <f t="shared" si="41"/>
        <v>0</v>
      </c>
      <c r="N85" s="25">
        <f t="shared" si="41"/>
        <v>0</v>
      </c>
      <c r="O85" s="25">
        <f t="shared" si="41"/>
        <v>0</v>
      </c>
      <c r="P85" s="25">
        <f t="shared" si="41"/>
        <v>0</v>
      </c>
      <c r="Q85" s="25">
        <f t="shared" si="41"/>
        <v>177022.09</v>
      </c>
      <c r="R85" s="25">
        <f t="shared" si="41"/>
        <v>0</v>
      </c>
      <c r="S85" s="25">
        <f t="shared" si="41"/>
        <v>0</v>
      </c>
      <c r="T85" s="25">
        <f t="shared" si="41"/>
        <v>0</v>
      </c>
    </row>
    <row r="86" spans="1:20" s="20" customFormat="1" ht="17.25" x14ac:dyDescent="0.25">
      <c r="A86" s="59" t="s">
        <v>84</v>
      </c>
      <c r="B86" s="48" t="s">
        <v>85</v>
      </c>
      <c r="C86" s="25"/>
      <c r="D86" s="25">
        <f t="shared" ref="D86:H86" si="42">SUM(D87:D88)</f>
        <v>91683463</v>
      </c>
      <c r="E86" s="25">
        <f t="shared" si="42"/>
        <v>22747654.629999999</v>
      </c>
      <c r="F86" s="25"/>
      <c r="G86" s="25">
        <f t="shared" si="42"/>
        <v>91683463</v>
      </c>
      <c r="H86" s="25">
        <f t="shared" si="42"/>
        <v>22747654.629999999</v>
      </c>
      <c r="I86" s="25">
        <f>SUM(I87:I88)</f>
        <v>0</v>
      </c>
      <c r="J86" s="25">
        <f t="shared" ref="J86:T86" si="43">SUM(J87:J88)</f>
        <v>0</v>
      </c>
      <c r="K86" s="25">
        <f t="shared" si="43"/>
        <v>0</v>
      </c>
      <c r="L86" s="25">
        <f t="shared" si="43"/>
        <v>0</v>
      </c>
      <c r="M86" s="25">
        <f t="shared" si="43"/>
        <v>0</v>
      </c>
      <c r="N86" s="25">
        <f t="shared" si="43"/>
        <v>0</v>
      </c>
      <c r="O86" s="25">
        <f t="shared" si="43"/>
        <v>0</v>
      </c>
      <c r="P86" s="25">
        <f t="shared" si="43"/>
        <v>0</v>
      </c>
      <c r="Q86" s="25">
        <f t="shared" si="43"/>
        <v>0</v>
      </c>
      <c r="R86" s="25">
        <f t="shared" si="43"/>
        <v>0</v>
      </c>
      <c r="S86" s="25">
        <f t="shared" si="43"/>
        <v>0</v>
      </c>
      <c r="T86" s="25">
        <f t="shared" si="43"/>
        <v>0</v>
      </c>
    </row>
    <row r="87" spans="1:20" s="26" customFormat="1" ht="16.5" x14ac:dyDescent="0.25">
      <c r="A87" s="60"/>
      <c r="B87" s="28" t="s">
        <v>86</v>
      </c>
      <c r="C87" s="55">
        <v>225</v>
      </c>
      <c r="D87" s="33">
        <f t="shared" ref="D87:D154" si="44">SUM(G87+I87+K87+M87+O87+Q87+S87)</f>
        <v>89878430</v>
      </c>
      <c r="E87" s="33">
        <f t="shared" ref="E87:E154" si="45">SUM(H87+J87+L87+N87+P87+R87+T87)</f>
        <v>22747654.629999999</v>
      </c>
      <c r="F87" s="33"/>
      <c r="G87" s="33">
        <f>SUM('Школы БУ'!G87+'Школы АУ'!G87)</f>
        <v>89878430</v>
      </c>
      <c r="H87" s="33">
        <f>SUM('Школы БУ'!H87+'Школы АУ'!H87)</f>
        <v>22747654.629999999</v>
      </c>
      <c r="I87" s="33">
        <f>SUM('Школы БУ'!I87+'Школы АУ'!I87)</f>
        <v>0</v>
      </c>
      <c r="J87" s="33">
        <f>SUM('Школы БУ'!J87+'Школы АУ'!J87)</f>
        <v>0</v>
      </c>
      <c r="K87" s="33">
        <f>SUM('Школы БУ'!K87+'Школы АУ'!K87)</f>
        <v>0</v>
      </c>
      <c r="L87" s="33">
        <f>SUM('Школы БУ'!L87+'Школы АУ'!L87)</f>
        <v>0</v>
      </c>
      <c r="M87" s="33">
        <f>SUM('Школы БУ'!M87+'Школы АУ'!M87)</f>
        <v>0</v>
      </c>
      <c r="N87" s="33">
        <f>SUM('Школы БУ'!N87+'Школы АУ'!N87)</f>
        <v>0</v>
      </c>
      <c r="O87" s="33">
        <f>SUM('Школы БУ'!O87+'Школы АУ'!O87)</f>
        <v>0</v>
      </c>
      <c r="P87" s="33">
        <f>SUM('Школы БУ'!P87+'Школы АУ'!P87)</f>
        <v>0</v>
      </c>
      <c r="Q87" s="33">
        <f>SUM('Школы БУ'!Q87+'Школы АУ'!Q87)</f>
        <v>0</v>
      </c>
      <c r="R87" s="33">
        <f>SUM('Школы БУ'!R87+'Школы АУ'!R87)</f>
        <v>0</v>
      </c>
      <c r="S87" s="33">
        <f>SUM('Школы БУ'!S87+'Школы АУ'!S87)</f>
        <v>0</v>
      </c>
      <c r="T87" s="33">
        <f>SUM('Школы БУ'!T87+'Школы АУ'!T87)</f>
        <v>0</v>
      </c>
    </row>
    <row r="88" spans="1:20" s="26" customFormat="1" ht="16.5" x14ac:dyDescent="0.25">
      <c r="A88" s="52"/>
      <c r="B88" s="28" t="s">
        <v>87</v>
      </c>
      <c r="C88" s="55">
        <v>226</v>
      </c>
      <c r="D88" s="33">
        <f t="shared" si="44"/>
        <v>1805033</v>
      </c>
      <c r="E88" s="33">
        <f t="shared" si="45"/>
        <v>0</v>
      </c>
      <c r="F88" s="33"/>
      <c r="G88" s="33">
        <f>SUM('Школы БУ'!G88+'Школы АУ'!G88)</f>
        <v>1805033</v>
      </c>
      <c r="H88" s="33">
        <f>SUM('Школы БУ'!H88+'Школы АУ'!H88)</f>
        <v>0</v>
      </c>
      <c r="I88" s="33">
        <f>SUM('Школы БУ'!I88+'Школы АУ'!I88)</f>
        <v>0</v>
      </c>
      <c r="J88" s="33">
        <f>SUM('Школы БУ'!J88+'Школы АУ'!J88)</f>
        <v>0</v>
      </c>
      <c r="K88" s="33">
        <f>SUM('Школы БУ'!K88+'Школы АУ'!K88)</f>
        <v>0</v>
      </c>
      <c r="L88" s="33">
        <f>SUM('Школы БУ'!L88+'Школы АУ'!L88)</f>
        <v>0</v>
      </c>
      <c r="M88" s="33">
        <f>SUM('Школы БУ'!M88+'Школы АУ'!M88)</f>
        <v>0</v>
      </c>
      <c r="N88" s="33">
        <f>SUM('Школы БУ'!N88+'Школы АУ'!N88)</f>
        <v>0</v>
      </c>
      <c r="O88" s="33">
        <f>SUM('Школы БУ'!O88+'Школы АУ'!O88)</f>
        <v>0</v>
      </c>
      <c r="P88" s="33">
        <f>SUM('Школы БУ'!P88+'Школы АУ'!P88)</f>
        <v>0</v>
      </c>
      <c r="Q88" s="33">
        <f>SUM('Школы БУ'!Q88+'Школы АУ'!Q88)</f>
        <v>0</v>
      </c>
      <c r="R88" s="33">
        <f>SUM('Школы БУ'!R88+'Школы АУ'!R88)</f>
        <v>0</v>
      </c>
      <c r="S88" s="33">
        <f>SUM('Школы БУ'!S88+'Школы АУ'!S88)</f>
        <v>0</v>
      </c>
      <c r="T88" s="33">
        <f>SUM('Школы БУ'!T88+'Школы АУ'!T88)</f>
        <v>0</v>
      </c>
    </row>
    <row r="89" spans="1:20" s="20" customFormat="1" ht="17.25" x14ac:dyDescent="0.25">
      <c r="A89" s="59" t="s">
        <v>88</v>
      </c>
      <c r="B89" s="48" t="s">
        <v>89</v>
      </c>
      <c r="C89" s="54"/>
      <c r="D89" s="25">
        <f t="shared" ref="D89:T89" si="46">SUM(D90:D98)</f>
        <v>151348374.94</v>
      </c>
      <c r="E89" s="25">
        <f t="shared" si="46"/>
        <v>15854228.58</v>
      </c>
      <c r="F89" s="25"/>
      <c r="G89" s="25">
        <f t="shared" si="46"/>
        <v>151348374.94</v>
      </c>
      <c r="H89" s="25">
        <f t="shared" si="46"/>
        <v>15854228.58</v>
      </c>
      <c r="I89" s="25">
        <f t="shared" si="46"/>
        <v>0</v>
      </c>
      <c r="J89" s="25">
        <f t="shared" si="46"/>
        <v>0</v>
      </c>
      <c r="K89" s="25">
        <f t="shared" si="46"/>
        <v>0</v>
      </c>
      <c r="L89" s="25">
        <f t="shared" si="46"/>
        <v>0</v>
      </c>
      <c r="M89" s="25">
        <f t="shared" si="46"/>
        <v>0</v>
      </c>
      <c r="N89" s="25">
        <f t="shared" si="46"/>
        <v>0</v>
      </c>
      <c r="O89" s="25">
        <f t="shared" si="46"/>
        <v>0</v>
      </c>
      <c r="P89" s="25">
        <f t="shared" si="46"/>
        <v>0</v>
      </c>
      <c r="Q89" s="25">
        <f t="shared" si="46"/>
        <v>0</v>
      </c>
      <c r="R89" s="25">
        <f t="shared" si="46"/>
        <v>0</v>
      </c>
      <c r="S89" s="25">
        <f t="shared" si="46"/>
        <v>0</v>
      </c>
      <c r="T89" s="25">
        <f t="shared" si="46"/>
        <v>0</v>
      </c>
    </row>
    <row r="90" spans="1:20" s="26" customFormat="1" ht="33" x14ac:dyDescent="0.25">
      <c r="A90" s="52" t="s">
        <v>90</v>
      </c>
      <c r="B90" s="28" t="s">
        <v>91</v>
      </c>
      <c r="C90" s="55">
        <v>225</v>
      </c>
      <c r="D90" s="33">
        <f t="shared" si="44"/>
        <v>126575337</v>
      </c>
      <c r="E90" s="33">
        <f t="shared" si="45"/>
        <v>15601886.58</v>
      </c>
      <c r="F90" s="33"/>
      <c r="G90" s="33">
        <f>SUM('Школы БУ'!G90+'Школы АУ'!G90)</f>
        <v>126575337</v>
      </c>
      <c r="H90" s="33">
        <f>SUM('Школы БУ'!H90+'Школы АУ'!H90)</f>
        <v>15601886.58</v>
      </c>
      <c r="I90" s="33">
        <f>SUM('Школы БУ'!I90+'Школы АУ'!I90)</f>
        <v>0</v>
      </c>
      <c r="J90" s="33">
        <f>SUM('Школы БУ'!J90+'Школы АУ'!J90)</f>
        <v>0</v>
      </c>
      <c r="K90" s="33">
        <f>SUM('Школы БУ'!K90+'Школы АУ'!K90)</f>
        <v>0</v>
      </c>
      <c r="L90" s="33">
        <f>SUM('Школы БУ'!L90+'Школы АУ'!L90)</f>
        <v>0</v>
      </c>
      <c r="M90" s="33">
        <f>SUM('Школы БУ'!M90+'Школы АУ'!M90)</f>
        <v>0</v>
      </c>
      <c r="N90" s="33">
        <f>SUM('Школы БУ'!N90+'Школы АУ'!N90)</f>
        <v>0</v>
      </c>
      <c r="O90" s="33">
        <f>SUM('Школы БУ'!O90+'Школы АУ'!O90)</f>
        <v>0</v>
      </c>
      <c r="P90" s="33">
        <f>SUM('Школы БУ'!P90+'Школы АУ'!P90)</f>
        <v>0</v>
      </c>
      <c r="Q90" s="33">
        <f>SUM('Школы БУ'!Q90+'Школы АУ'!Q90)</f>
        <v>0</v>
      </c>
      <c r="R90" s="33">
        <f>SUM('Школы БУ'!R90+'Школы АУ'!R90)</f>
        <v>0</v>
      </c>
      <c r="S90" s="33">
        <f>SUM('Школы БУ'!S90+'Школы АУ'!S90)</f>
        <v>0</v>
      </c>
      <c r="T90" s="33">
        <f>SUM('Школы БУ'!T90+'Школы АУ'!T90)</f>
        <v>0</v>
      </c>
    </row>
    <row r="91" spans="1:20" s="26" customFormat="1" ht="16.5" x14ac:dyDescent="0.25">
      <c r="A91" s="52" t="s">
        <v>90</v>
      </c>
      <c r="B91" s="28" t="s">
        <v>87</v>
      </c>
      <c r="C91" s="55">
        <v>226</v>
      </c>
      <c r="D91" s="33">
        <f t="shared" si="44"/>
        <v>536846</v>
      </c>
      <c r="E91" s="33">
        <f t="shared" si="45"/>
        <v>237842</v>
      </c>
      <c r="F91" s="33"/>
      <c r="G91" s="33">
        <f>SUM('Школы БУ'!G91+'Школы АУ'!G91)</f>
        <v>536846</v>
      </c>
      <c r="H91" s="33">
        <f>SUM('Школы БУ'!H91+'Школы АУ'!H91)</f>
        <v>237842</v>
      </c>
      <c r="I91" s="33">
        <f>SUM('Школы БУ'!I91+'Школы АУ'!I91)</f>
        <v>0</v>
      </c>
      <c r="J91" s="33">
        <f>SUM('Школы БУ'!J91+'Школы АУ'!J91)</f>
        <v>0</v>
      </c>
      <c r="K91" s="33">
        <f>SUM('Школы БУ'!K91+'Школы АУ'!K91)</f>
        <v>0</v>
      </c>
      <c r="L91" s="33">
        <f>SUM('Школы БУ'!L91+'Школы АУ'!L91)</f>
        <v>0</v>
      </c>
      <c r="M91" s="33">
        <f>SUM('Школы БУ'!M91+'Школы АУ'!M91)</f>
        <v>0</v>
      </c>
      <c r="N91" s="33">
        <f>SUM('Школы БУ'!N91+'Школы АУ'!N91)</f>
        <v>0</v>
      </c>
      <c r="O91" s="33">
        <f>SUM('Школы БУ'!O91+'Школы АУ'!O91)</f>
        <v>0</v>
      </c>
      <c r="P91" s="33">
        <f>SUM('Школы БУ'!P91+'Школы АУ'!P91)</f>
        <v>0</v>
      </c>
      <c r="Q91" s="33">
        <f>SUM('Школы БУ'!Q91+'Школы АУ'!Q91)</f>
        <v>0</v>
      </c>
      <c r="R91" s="33">
        <f>SUM('Школы БУ'!R91+'Школы АУ'!R91)</f>
        <v>0</v>
      </c>
      <c r="S91" s="33">
        <f>SUM('Школы БУ'!S91+'Школы АУ'!S91)</f>
        <v>0</v>
      </c>
      <c r="T91" s="33">
        <f>SUM('Школы БУ'!T91+'Школы АУ'!T91)</f>
        <v>0</v>
      </c>
    </row>
    <row r="92" spans="1:20" s="26" customFormat="1" ht="16.5" x14ac:dyDescent="0.25">
      <c r="A92" s="52" t="s">
        <v>92</v>
      </c>
      <c r="B92" s="28" t="s">
        <v>93</v>
      </c>
      <c r="C92" s="55">
        <v>340</v>
      </c>
      <c r="D92" s="33">
        <f t="shared" si="44"/>
        <v>2624691.94</v>
      </c>
      <c r="E92" s="33">
        <f t="shared" si="45"/>
        <v>0</v>
      </c>
      <c r="F92" s="33"/>
      <c r="G92" s="97">
        <f>SUM('Школы БУ'!G92+'Школы АУ'!G92)</f>
        <v>2624691.94</v>
      </c>
      <c r="H92" s="33">
        <f>SUM('Школы БУ'!H92+'Школы АУ'!H92)</f>
        <v>0</v>
      </c>
      <c r="I92" s="33">
        <f>SUM('Школы БУ'!I92+'Школы АУ'!I92)</f>
        <v>0</v>
      </c>
      <c r="J92" s="33">
        <f>SUM('Школы БУ'!J92+'Школы АУ'!J92)</f>
        <v>0</v>
      </c>
      <c r="K92" s="33">
        <f>SUM('Школы БУ'!K92+'Школы АУ'!K92)</f>
        <v>0</v>
      </c>
      <c r="L92" s="33">
        <f>SUM('Школы БУ'!L92+'Школы АУ'!L92)</f>
        <v>0</v>
      </c>
      <c r="M92" s="33">
        <f>SUM('Школы БУ'!M92+'Школы АУ'!M92)</f>
        <v>0</v>
      </c>
      <c r="N92" s="33">
        <f>SUM('Школы БУ'!N92+'Школы АУ'!N92)</f>
        <v>0</v>
      </c>
      <c r="O92" s="33">
        <f>SUM('Школы БУ'!O92+'Школы АУ'!O92)</f>
        <v>0</v>
      </c>
      <c r="P92" s="33">
        <f>SUM('Школы БУ'!P92+'Школы АУ'!P92)</f>
        <v>0</v>
      </c>
      <c r="Q92" s="33">
        <f>SUM('Школы БУ'!Q92+'Школы АУ'!Q92)</f>
        <v>0</v>
      </c>
      <c r="R92" s="33">
        <f>SUM('Школы БУ'!R92+'Школы АУ'!R92)</f>
        <v>0</v>
      </c>
      <c r="S92" s="33">
        <f>SUM('Школы БУ'!S92+'Школы АУ'!S92)</f>
        <v>0</v>
      </c>
      <c r="T92" s="33">
        <f>SUM('Школы БУ'!T92+'Школы АУ'!T92)</f>
        <v>0</v>
      </c>
    </row>
    <row r="93" spans="1:20" s="26" customFormat="1" ht="16.5" x14ac:dyDescent="0.25">
      <c r="A93" s="52" t="s">
        <v>94</v>
      </c>
      <c r="B93" s="28" t="s">
        <v>95</v>
      </c>
      <c r="C93" s="55">
        <v>310</v>
      </c>
      <c r="D93" s="33">
        <f t="shared" si="44"/>
        <v>21135000</v>
      </c>
      <c r="E93" s="33">
        <f t="shared" si="45"/>
        <v>14500</v>
      </c>
      <c r="F93" s="33"/>
      <c r="G93" s="33">
        <f>SUM('Школы БУ'!G93+'Школы АУ'!G93)</f>
        <v>21135000</v>
      </c>
      <c r="H93" s="33">
        <f>SUM('Школы БУ'!H93+'Школы АУ'!H93)</f>
        <v>14500</v>
      </c>
      <c r="I93" s="33">
        <f>SUM('Школы БУ'!I93+'Школы АУ'!I93)</f>
        <v>0</v>
      </c>
      <c r="J93" s="33">
        <f>SUM('Школы БУ'!J93+'Школы АУ'!J93)</f>
        <v>0</v>
      </c>
      <c r="K93" s="33">
        <f>SUM('Школы БУ'!K93+'Школы АУ'!K93)</f>
        <v>0</v>
      </c>
      <c r="L93" s="33">
        <f>SUM('Школы БУ'!L93+'Школы АУ'!L93)</f>
        <v>0</v>
      </c>
      <c r="M93" s="33">
        <f>SUM('Школы БУ'!M93+'Школы АУ'!M93)</f>
        <v>0</v>
      </c>
      <c r="N93" s="33">
        <f>SUM('Школы БУ'!N93+'Школы АУ'!N93)</f>
        <v>0</v>
      </c>
      <c r="O93" s="33">
        <f>SUM('Школы БУ'!O93+'Школы АУ'!O93)</f>
        <v>0</v>
      </c>
      <c r="P93" s="33">
        <f>SUM('Школы БУ'!P93+'Школы АУ'!P93)</f>
        <v>0</v>
      </c>
      <c r="Q93" s="33">
        <f>SUM('Школы БУ'!Q93+'Школы АУ'!Q93)</f>
        <v>0</v>
      </c>
      <c r="R93" s="33">
        <f>SUM('Школы БУ'!R93+'Школы АУ'!R93)</f>
        <v>0</v>
      </c>
      <c r="S93" s="33">
        <f>SUM('Школы БУ'!S93+'Школы АУ'!S93)</f>
        <v>0</v>
      </c>
      <c r="T93" s="33">
        <f>SUM('Школы БУ'!T93+'Школы АУ'!T93)</f>
        <v>0</v>
      </c>
    </row>
    <row r="94" spans="1:20" s="26" customFormat="1" ht="33" x14ac:dyDescent="0.25">
      <c r="A94" s="52" t="s">
        <v>96</v>
      </c>
      <c r="B94" s="28" t="s">
        <v>97</v>
      </c>
      <c r="C94" s="55">
        <v>225</v>
      </c>
      <c r="D94" s="33">
        <f t="shared" si="44"/>
        <v>0</v>
      </c>
      <c r="E94" s="33">
        <f t="shared" si="45"/>
        <v>0</v>
      </c>
      <c r="F94" s="33"/>
      <c r="G94" s="33">
        <f>SUM('Школы БУ'!G94+'Школы АУ'!G94)</f>
        <v>0</v>
      </c>
      <c r="H94" s="33">
        <f>SUM('Школы БУ'!H94+'Школы АУ'!H94)</f>
        <v>0</v>
      </c>
      <c r="I94" s="33">
        <f>SUM('Школы БУ'!I94+'Школы АУ'!I94)</f>
        <v>0</v>
      </c>
      <c r="J94" s="33">
        <f>SUM('Школы БУ'!J94+'Школы АУ'!J94)</f>
        <v>0</v>
      </c>
      <c r="K94" s="33">
        <f>SUM('Школы БУ'!K94+'Школы АУ'!K94)</f>
        <v>0</v>
      </c>
      <c r="L94" s="33">
        <f>SUM('Школы БУ'!L94+'Школы АУ'!L94)</f>
        <v>0</v>
      </c>
      <c r="M94" s="33">
        <f>SUM('Школы БУ'!M94+'Школы АУ'!M94)</f>
        <v>0</v>
      </c>
      <c r="N94" s="33">
        <f>SUM('Школы БУ'!N94+'Школы АУ'!N94)</f>
        <v>0</v>
      </c>
      <c r="O94" s="33">
        <f>SUM('Школы БУ'!O94+'Школы АУ'!O94)</f>
        <v>0</v>
      </c>
      <c r="P94" s="33">
        <f>SUM('Школы БУ'!P94+'Школы АУ'!P94)</f>
        <v>0</v>
      </c>
      <c r="Q94" s="33">
        <f>SUM('Школы БУ'!Q94+'Школы АУ'!Q94)</f>
        <v>0</v>
      </c>
      <c r="R94" s="33">
        <f>SUM('Школы БУ'!R94+'Школы АУ'!R94)</f>
        <v>0</v>
      </c>
      <c r="S94" s="33">
        <f>SUM('Школы БУ'!S94+'Школы АУ'!S94)</f>
        <v>0</v>
      </c>
      <c r="T94" s="33">
        <f>SUM('Школы БУ'!T94+'Школы АУ'!T94)</f>
        <v>0</v>
      </c>
    </row>
    <row r="95" spans="1:20" s="26" customFormat="1" ht="33" x14ac:dyDescent="0.25">
      <c r="A95" s="52" t="s">
        <v>96</v>
      </c>
      <c r="B95" s="28" t="s">
        <v>97</v>
      </c>
      <c r="C95" s="55">
        <v>226</v>
      </c>
      <c r="D95" s="33">
        <f t="shared" si="44"/>
        <v>476500</v>
      </c>
      <c r="E95" s="33">
        <f t="shared" si="45"/>
        <v>0</v>
      </c>
      <c r="F95" s="33"/>
      <c r="G95" s="33">
        <f>SUM('Школы БУ'!G95+'Школы АУ'!G95)</f>
        <v>476500</v>
      </c>
      <c r="H95" s="33">
        <f>SUM('Школы БУ'!H95+'Школы АУ'!H95)</f>
        <v>0</v>
      </c>
      <c r="I95" s="33">
        <f>SUM('Школы БУ'!I95+'Школы АУ'!I95)</f>
        <v>0</v>
      </c>
      <c r="J95" s="33">
        <f>SUM('Школы БУ'!J95+'Школы АУ'!J95)</f>
        <v>0</v>
      </c>
      <c r="K95" s="33">
        <f>SUM('Школы БУ'!K95+'Школы АУ'!K95)</f>
        <v>0</v>
      </c>
      <c r="L95" s="33">
        <f>SUM('Школы БУ'!L95+'Школы АУ'!L95)</f>
        <v>0</v>
      </c>
      <c r="M95" s="33">
        <f>SUM('Школы БУ'!M95+'Школы АУ'!M95)</f>
        <v>0</v>
      </c>
      <c r="N95" s="33">
        <f>SUM('Школы БУ'!N95+'Школы АУ'!N95)</f>
        <v>0</v>
      </c>
      <c r="O95" s="33">
        <f>SUM('Школы БУ'!O95+'Школы АУ'!O95)</f>
        <v>0</v>
      </c>
      <c r="P95" s="33">
        <f>SUM('Школы БУ'!P95+'Школы АУ'!P95)</f>
        <v>0</v>
      </c>
      <c r="Q95" s="33">
        <f>SUM('Школы БУ'!Q95+'Школы АУ'!Q95)</f>
        <v>0</v>
      </c>
      <c r="R95" s="33">
        <f>SUM('Школы БУ'!R95+'Школы АУ'!R95)</f>
        <v>0</v>
      </c>
      <c r="S95" s="33">
        <f>SUM('Школы БУ'!S95+'Школы АУ'!S95)</f>
        <v>0</v>
      </c>
      <c r="T95" s="33">
        <f>SUM('Школы БУ'!T95+'Школы АУ'!T95)</f>
        <v>0</v>
      </c>
    </row>
    <row r="96" spans="1:20" s="26" customFormat="1" ht="33" hidden="1" x14ac:dyDescent="0.25">
      <c r="A96" s="52" t="s">
        <v>96</v>
      </c>
      <c r="B96" s="28" t="s">
        <v>97</v>
      </c>
      <c r="C96" s="55">
        <v>340</v>
      </c>
      <c r="D96" s="33">
        <f t="shared" si="44"/>
        <v>0</v>
      </c>
      <c r="E96" s="33">
        <f t="shared" si="45"/>
        <v>0</v>
      </c>
      <c r="F96" s="33"/>
      <c r="G96" s="33">
        <f>SUM('Школы БУ'!G96+'Школы АУ'!G96)</f>
        <v>0</v>
      </c>
      <c r="H96" s="33"/>
      <c r="I96" s="33">
        <f>SUM('Школы БУ'!I96+'Школы АУ'!I96)</f>
        <v>0</v>
      </c>
      <c r="J96" s="33"/>
      <c r="K96" s="33">
        <f>SUM('Школы БУ'!K96+'Школы АУ'!K96)</f>
        <v>0</v>
      </c>
      <c r="L96" s="33"/>
      <c r="M96" s="33">
        <f>SUM('Школы БУ'!M96+'Школы АУ'!M96)</f>
        <v>0</v>
      </c>
      <c r="N96" s="33"/>
      <c r="O96" s="33">
        <f>SUM('Школы БУ'!O96+'Школы АУ'!O96)</f>
        <v>0</v>
      </c>
      <c r="P96" s="33"/>
      <c r="Q96" s="33">
        <f>SUM('Школы БУ'!Q96+'Школы АУ'!Q96)</f>
        <v>0</v>
      </c>
      <c r="R96" s="33"/>
      <c r="S96" s="33">
        <f>SUM('Школы БУ'!S96+'Школы АУ'!S96)</f>
        <v>0</v>
      </c>
      <c r="T96" s="33">
        <f>SUM('Школы БУ'!T96+'Школы АУ'!T96)</f>
        <v>0</v>
      </c>
    </row>
    <row r="97" spans="1:20" s="26" customFormat="1" ht="16.5" hidden="1" x14ac:dyDescent="0.25">
      <c r="A97" s="52" t="s">
        <v>98</v>
      </c>
      <c r="B97" s="28" t="s">
        <v>99</v>
      </c>
      <c r="C97" s="55">
        <v>310</v>
      </c>
      <c r="D97" s="33">
        <f t="shared" si="44"/>
        <v>0</v>
      </c>
      <c r="E97" s="33">
        <f t="shared" si="45"/>
        <v>0</v>
      </c>
      <c r="F97" s="33"/>
      <c r="G97" s="33">
        <f>SUM('Школы БУ'!G97+'Школы АУ'!G97)</f>
        <v>0</v>
      </c>
      <c r="H97" s="33"/>
      <c r="I97" s="33">
        <f>SUM('Школы БУ'!I97+'Школы АУ'!I97)</f>
        <v>0</v>
      </c>
      <c r="J97" s="33"/>
      <c r="K97" s="33">
        <f>SUM('Школы БУ'!K97+'Школы АУ'!K97)</f>
        <v>0</v>
      </c>
      <c r="L97" s="33"/>
      <c r="M97" s="33">
        <f>SUM('Школы БУ'!M97+'Школы АУ'!M97)</f>
        <v>0</v>
      </c>
      <c r="N97" s="33"/>
      <c r="O97" s="33">
        <f>SUM('Школы БУ'!O97+'Школы АУ'!O97)</f>
        <v>0</v>
      </c>
      <c r="P97" s="33"/>
      <c r="Q97" s="33">
        <f>SUM('Школы БУ'!Q97+'Школы АУ'!Q97)</f>
        <v>0</v>
      </c>
      <c r="R97" s="33"/>
      <c r="S97" s="33">
        <f>SUM('Школы БУ'!S97+'Школы АУ'!S97)</f>
        <v>0</v>
      </c>
      <c r="T97" s="33">
        <f>SUM('Школы БУ'!T97+'Школы АУ'!T97)</f>
        <v>0</v>
      </c>
    </row>
    <row r="98" spans="1:20" s="26" customFormat="1" ht="16.5" hidden="1" x14ac:dyDescent="0.25">
      <c r="A98" s="52" t="s">
        <v>98</v>
      </c>
      <c r="B98" s="28" t="s">
        <v>99</v>
      </c>
      <c r="C98" s="55">
        <v>340</v>
      </c>
      <c r="D98" s="33">
        <f t="shared" si="44"/>
        <v>0</v>
      </c>
      <c r="E98" s="33">
        <f t="shared" si="45"/>
        <v>0</v>
      </c>
      <c r="F98" s="33"/>
      <c r="G98" s="33">
        <f>SUM('Школы БУ'!G98+'Школы АУ'!G98)</f>
        <v>0</v>
      </c>
      <c r="H98" s="33"/>
      <c r="I98" s="33">
        <f>SUM('Школы БУ'!I98+'Школы АУ'!I98)</f>
        <v>0</v>
      </c>
      <c r="J98" s="33"/>
      <c r="K98" s="33">
        <f>SUM('Школы БУ'!K98+'Школы АУ'!K98)</f>
        <v>0</v>
      </c>
      <c r="L98" s="33"/>
      <c r="M98" s="33">
        <f>SUM('Школы БУ'!M98+'Школы АУ'!M98)</f>
        <v>0</v>
      </c>
      <c r="N98" s="33"/>
      <c r="O98" s="33">
        <f>SUM('Школы БУ'!O98+'Школы АУ'!O98)</f>
        <v>0</v>
      </c>
      <c r="P98" s="33"/>
      <c r="Q98" s="33">
        <f>SUM('Школы БУ'!Q98+'Школы АУ'!Q98)</f>
        <v>0</v>
      </c>
      <c r="R98" s="33"/>
      <c r="S98" s="33">
        <f>SUM('Школы БУ'!S98+'Школы АУ'!S98)</f>
        <v>0</v>
      </c>
      <c r="T98" s="33">
        <f>SUM('Школы БУ'!T98+'Школы АУ'!T98)</f>
        <v>0</v>
      </c>
    </row>
    <row r="99" spans="1:20" s="18" customFormat="1" ht="17.25" x14ac:dyDescent="0.25">
      <c r="A99" s="61" t="s">
        <v>100</v>
      </c>
      <c r="B99" s="62" t="s">
        <v>101</v>
      </c>
      <c r="C99" s="49"/>
      <c r="D99" s="34">
        <f t="shared" ref="D99:H99" si="47">SUM(D100:D117)</f>
        <v>2608032</v>
      </c>
      <c r="E99" s="34">
        <f t="shared" si="47"/>
        <v>36000</v>
      </c>
      <c r="F99" s="34"/>
      <c r="G99" s="34">
        <f t="shared" si="47"/>
        <v>2608032</v>
      </c>
      <c r="H99" s="34">
        <f t="shared" si="47"/>
        <v>36000</v>
      </c>
      <c r="I99" s="34">
        <f t="shared" ref="I99:T99" si="48">SUM(I100:I117)</f>
        <v>0</v>
      </c>
      <c r="J99" s="34">
        <f t="shared" si="48"/>
        <v>0</v>
      </c>
      <c r="K99" s="34">
        <f t="shared" si="48"/>
        <v>0</v>
      </c>
      <c r="L99" s="34">
        <f t="shared" si="48"/>
        <v>0</v>
      </c>
      <c r="M99" s="34">
        <f t="shared" si="48"/>
        <v>0</v>
      </c>
      <c r="N99" s="34">
        <f t="shared" si="48"/>
        <v>0</v>
      </c>
      <c r="O99" s="34">
        <f t="shared" si="48"/>
        <v>0</v>
      </c>
      <c r="P99" s="34">
        <f t="shared" si="48"/>
        <v>0</v>
      </c>
      <c r="Q99" s="34">
        <f t="shared" si="48"/>
        <v>0</v>
      </c>
      <c r="R99" s="34">
        <f t="shared" si="48"/>
        <v>0</v>
      </c>
      <c r="S99" s="34">
        <f t="shared" si="48"/>
        <v>0</v>
      </c>
      <c r="T99" s="34">
        <f t="shared" si="48"/>
        <v>0</v>
      </c>
    </row>
    <row r="100" spans="1:20" s="27" customFormat="1" ht="33" hidden="1" x14ac:dyDescent="0.25">
      <c r="A100" s="63" t="s">
        <v>102</v>
      </c>
      <c r="B100" s="58" t="s">
        <v>103</v>
      </c>
      <c r="C100" s="51">
        <v>226</v>
      </c>
      <c r="D100" s="33">
        <f t="shared" si="44"/>
        <v>0</v>
      </c>
      <c r="E100" s="33">
        <f t="shared" si="45"/>
        <v>0</v>
      </c>
      <c r="F100" s="33"/>
      <c r="G100" s="33">
        <f>SUM('Школы БУ'!G100+'Школы АУ'!G100)</f>
        <v>0</v>
      </c>
      <c r="H100" s="33"/>
      <c r="I100" s="33">
        <f>SUM('Школы БУ'!I100+'Школы АУ'!I100)</f>
        <v>0</v>
      </c>
      <c r="J100" s="33"/>
      <c r="K100" s="33">
        <f>SUM('Школы БУ'!K100+'Школы АУ'!K100)</f>
        <v>0</v>
      </c>
      <c r="L100" s="33"/>
      <c r="M100" s="33">
        <f>SUM('Школы БУ'!M100+'Школы АУ'!M100)</f>
        <v>0</v>
      </c>
      <c r="N100" s="33"/>
      <c r="O100" s="33">
        <f>SUM('Школы БУ'!O100+'Школы АУ'!O100)</f>
        <v>0</v>
      </c>
      <c r="P100" s="33"/>
      <c r="Q100" s="33">
        <f>SUM('Школы БУ'!Q100+'Школы АУ'!Q100)</f>
        <v>0</v>
      </c>
      <c r="R100" s="33"/>
      <c r="S100" s="33">
        <f>SUM('Школы БУ'!S100+'Школы АУ'!S100)</f>
        <v>0</v>
      </c>
      <c r="T100" s="33">
        <f>SUM('Школы БУ'!T100+'Школы АУ'!T100)</f>
        <v>0</v>
      </c>
    </row>
    <row r="101" spans="1:20" s="27" customFormat="1" ht="33" hidden="1" x14ac:dyDescent="0.25">
      <c r="A101" s="63" t="s">
        <v>102</v>
      </c>
      <c r="B101" s="58" t="s">
        <v>103</v>
      </c>
      <c r="C101" s="51">
        <v>310</v>
      </c>
      <c r="D101" s="33">
        <f t="shared" si="44"/>
        <v>0</v>
      </c>
      <c r="E101" s="33">
        <f t="shared" si="45"/>
        <v>0</v>
      </c>
      <c r="F101" s="33"/>
      <c r="G101" s="33">
        <f>SUM('Школы БУ'!G101+'Школы АУ'!G101)</f>
        <v>0</v>
      </c>
      <c r="H101" s="33"/>
      <c r="I101" s="33">
        <f>SUM('Школы БУ'!I101+'Школы АУ'!I101)</f>
        <v>0</v>
      </c>
      <c r="J101" s="33"/>
      <c r="K101" s="33">
        <f>SUM('Школы БУ'!K101+'Школы АУ'!K101)</f>
        <v>0</v>
      </c>
      <c r="L101" s="33"/>
      <c r="M101" s="33">
        <f>SUM('Школы БУ'!M101+'Школы АУ'!M101)</f>
        <v>0</v>
      </c>
      <c r="N101" s="33"/>
      <c r="O101" s="33">
        <f>SUM('Школы БУ'!O101+'Школы АУ'!O101)</f>
        <v>0</v>
      </c>
      <c r="P101" s="33"/>
      <c r="Q101" s="33">
        <f>SUM('Школы БУ'!Q101+'Школы АУ'!Q101)</f>
        <v>0</v>
      </c>
      <c r="R101" s="33"/>
      <c r="S101" s="33">
        <f>SUM('Школы БУ'!S101+'Школы АУ'!S101)</f>
        <v>0</v>
      </c>
      <c r="T101" s="33">
        <f>SUM('Школы БУ'!T101+'Школы АУ'!T101)</f>
        <v>0</v>
      </c>
    </row>
    <row r="102" spans="1:20" s="27" customFormat="1" ht="16.5" hidden="1" x14ac:dyDescent="0.25">
      <c r="A102" s="63" t="s">
        <v>104</v>
      </c>
      <c r="B102" s="58" t="s">
        <v>105</v>
      </c>
      <c r="C102" s="51">
        <v>226</v>
      </c>
      <c r="D102" s="33">
        <f t="shared" si="44"/>
        <v>0</v>
      </c>
      <c r="E102" s="33">
        <f t="shared" si="45"/>
        <v>0</v>
      </c>
      <c r="F102" s="33"/>
      <c r="G102" s="33">
        <f>SUM('Школы БУ'!G102+'Школы АУ'!G102)</f>
        <v>0</v>
      </c>
      <c r="H102" s="33"/>
      <c r="I102" s="33">
        <f>SUM('Школы БУ'!I102+'Школы АУ'!I102)</f>
        <v>0</v>
      </c>
      <c r="J102" s="33"/>
      <c r="K102" s="33">
        <f>SUM('Школы БУ'!K102+'Школы АУ'!K102)</f>
        <v>0</v>
      </c>
      <c r="L102" s="33"/>
      <c r="M102" s="33">
        <f>SUM('Школы БУ'!M102+'Школы АУ'!M102)</f>
        <v>0</v>
      </c>
      <c r="N102" s="33"/>
      <c r="O102" s="33">
        <f>SUM('Школы БУ'!O102+'Школы АУ'!O102)</f>
        <v>0</v>
      </c>
      <c r="P102" s="33"/>
      <c r="Q102" s="33">
        <f>SUM('Школы БУ'!Q102+'Школы АУ'!Q102)</f>
        <v>0</v>
      </c>
      <c r="R102" s="33"/>
      <c r="S102" s="33">
        <f>SUM('Школы БУ'!S102+'Школы АУ'!S102)</f>
        <v>0</v>
      </c>
      <c r="T102" s="33">
        <f>SUM('Школы БУ'!T102+'Школы АУ'!T102)</f>
        <v>0</v>
      </c>
    </row>
    <row r="103" spans="1:20" s="27" customFormat="1" ht="16.5" hidden="1" x14ac:dyDescent="0.25">
      <c r="A103" s="63" t="s">
        <v>104</v>
      </c>
      <c r="B103" s="58" t="s">
        <v>105</v>
      </c>
      <c r="C103" s="51">
        <v>310</v>
      </c>
      <c r="D103" s="33">
        <f t="shared" si="44"/>
        <v>0</v>
      </c>
      <c r="E103" s="33">
        <f t="shared" si="45"/>
        <v>0</v>
      </c>
      <c r="F103" s="33"/>
      <c r="G103" s="33">
        <f>SUM('Школы БУ'!G103+'Школы АУ'!G103)</f>
        <v>0</v>
      </c>
      <c r="H103" s="33"/>
      <c r="I103" s="33">
        <f>SUM('Школы БУ'!I103+'Школы АУ'!I103)</f>
        <v>0</v>
      </c>
      <c r="J103" s="33"/>
      <c r="K103" s="33">
        <f>SUM('Школы БУ'!K103+'Школы АУ'!K103)</f>
        <v>0</v>
      </c>
      <c r="L103" s="33"/>
      <c r="M103" s="33">
        <f>SUM('Школы БУ'!M103+'Школы АУ'!M103)</f>
        <v>0</v>
      </c>
      <c r="N103" s="33"/>
      <c r="O103" s="33">
        <f>SUM('Школы БУ'!O103+'Школы АУ'!O103)</f>
        <v>0</v>
      </c>
      <c r="P103" s="33"/>
      <c r="Q103" s="33">
        <f>SUM('Школы БУ'!Q103+'Школы АУ'!Q103)</f>
        <v>0</v>
      </c>
      <c r="R103" s="33"/>
      <c r="S103" s="33">
        <f>SUM('Школы БУ'!S103+'Школы АУ'!S103)</f>
        <v>0</v>
      </c>
      <c r="T103" s="33">
        <f>SUM('Школы БУ'!T103+'Школы АУ'!T103)</f>
        <v>0</v>
      </c>
    </row>
    <row r="104" spans="1:20" s="27" customFormat="1" ht="33" hidden="1" x14ac:dyDescent="0.25">
      <c r="A104" s="63" t="s">
        <v>106</v>
      </c>
      <c r="B104" s="28" t="s">
        <v>107</v>
      </c>
      <c r="C104" s="51">
        <v>340</v>
      </c>
      <c r="D104" s="33">
        <f t="shared" si="44"/>
        <v>0</v>
      </c>
      <c r="E104" s="33">
        <f t="shared" si="45"/>
        <v>0</v>
      </c>
      <c r="F104" s="33"/>
      <c r="G104" s="33">
        <f>SUM('Школы БУ'!G104+'Школы АУ'!G104)</f>
        <v>0</v>
      </c>
      <c r="H104" s="33"/>
      <c r="I104" s="33">
        <f>SUM('Школы БУ'!I104+'Школы АУ'!I104)</f>
        <v>0</v>
      </c>
      <c r="J104" s="33"/>
      <c r="K104" s="33">
        <f>SUM('Школы БУ'!K104+'Школы АУ'!K104)</f>
        <v>0</v>
      </c>
      <c r="L104" s="33"/>
      <c r="M104" s="33">
        <f>SUM('Школы БУ'!M104+'Школы АУ'!M104)</f>
        <v>0</v>
      </c>
      <c r="N104" s="33"/>
      <c r="O104" s="33">
        <f>SUM('Школы БУ'!O104+'Школы АУ'!O104)</f>
        <v>0</v>
      </c>
      <c r="P104" s="33"/>
      <c r="Q104" s="33">
        <f>SUM('Школы БУ'!Q104+'Школы АУ'!Q104)</f>
        <v>0</v>
      </c>
      <c r="R104" s="33"/>
      <c r="S104" s="33">
        <f>SUM('Школы БУ'!S104+'Школы АУ'!S104)</f>
        <v>0</v>
      </c>
      <c r="T104" s="33">
        <f>SUM('Школы БУ'!T104+'Школы АУ'!T104)</f>
        <v>0</v>
      </c>
    </row>
    <row r="105" spans="1:20" s="27" customFormat="1" ht="16.5" hidden="1" x14ac:dyDescent="0.25">
      <c r="A105" s="63" t="s">
        <v>108</v>
      </c>
      <c r="B105" s="58" t="s">
        <v>109</v>
      </c>
      <c r="C105" s="51">
        <v>226</v>
      </c>
      <c r="D105" s="33">
        <f t="shared" si="44"/>
        <v>0</v>
      </c>
      <c r="E105" s="33">
        <f t="shared" si="45"/>
        <v>0</v>
      </c>
      <c r="F105" s="33"/>
      <c r="G105" s="33">
        <f>SUM('Школы БУ'!G105+'Школы АУ'!G105)</f>
        <v>0</v>
      </c>
      <c r="H105" s="33"/>
      <c r="I105" s="33">
        <f>SUM('Школы БУ'!I105+'Школы АУ'!I105)</f>
        <v>0</v>
      </c>
      <c r="J105" s="33"/>
      <c r="K105" s="33">
        <f>SUM('Школы БУ'!K105+'Школы АУ'!K105)</f>
        <v>0</v>
      </c>
      <c r="L105" s="33"/>
      <c r="M105" s="33">
        <f>SUM('Школы БУ'!M105+'Школы АУ'!M105)</f>
        <v>0</v>
      </c>
      <c r="N105" s="33"/>
      <c r="O105" s="33">
        <f>SUM('Школы БУ'!O105+'Школы АУ'!O105)</f>
        <v>0</v>
      </c>
      <c r="P105" s="33"/>
      <c r="Q105" s="33">
        <f>SUM('Школы БУ'!Q105+'Школы АУ'!Q105)</f>
        <v>0</v>
      </c>
      <c r="R105" s="33"/>
      <c r="S105" s="33">
        <f>SUM('Школы БУ'!S105+'Школы АУ'!S105)</f>
        <v>0</v>
      </c>
      <c r="T105" s="33">
        <f>SUM('Школы БУ'!T105+'Школы АУ'!T105)</f>
        <v>0</v>
      </c>
    </row>
    <row r="106" spans="1:20" s="27" customFormat="1" ht="16.5" hidden="1" x14ac:dyDescent="0.25">
      <c r="A106" s="63" t="s">
        <v>108</v>
      </c>
      <c r="B106" s="58" t="s">
        <v>109</v>
      </c>
      <c r="C106" s="51">
        <v>310</v>
      </c>
      <c r="D106" s="33">
        <f t="shared" si="44"/>
        <v>0</v>
      </c>
      <c r="E106" s="33">
        <f t="shared" si="45"/>
        <v>0</v>
      </c>
      <c r="F106" s="33"/>
      <c r="G106" s="33">
        <f>SUM('Школы БУ'!G106+'Школы АУ'!G106)</f>
        <v>0</v>
      </c>
      <c r="H106" s="33"/>
      <c r="I106" s="33">
        <f>SUM('Школы БУ'!I106+'Школы АУ'!I106)</f>
        <v>0</v>
      </c>
      <c r="J106" s="33"/>
      <c r="K106" s="33">
        <f>SUM('Школы БУ'!K106+'Школы АУ'!K106)</f>
        <v>0</v>
      </c>
      <c r="L106" s="33"/>
      <c r="M106" s="33">
        <f>SUM('Школы БУ'!M106+'Школы АУ'!M106)</f>
        <v>0</v>
      </c>
      <c r="N106" s="33"/>
      <c r="O106" s="33">
        <f>SUM('Школы БУ'!O106+'Школы АУ'!O106)</f>
        <v>0</v>
      </c>
      <c r="P106" s="33"/>
      <c r="Q106" s="33">
        <f>SUM('Школы БУ'!Q106+'Школы АУ'!Q106)</f>
        <v>0</v>
      </c>
      <c r="R106" s="33"/>
      <c r="S106" s="33">
        <f>SUM('Школы БУ'!S106+'Школы АУ'!S106)</f>
        <v>0</v>
      </c>
      <c r="T106" s="33">
        <f>SUM('Школы БУ'!T106+'Школы АУ'!T106)</f>
        <v>0</v>
      </c>
    </row>
    <row r="107" spans="1:20" s="27" customFormat="1" ht="16.5" hidden="1" x14ac:dyDescent="0.25">
      <c r="A107" s="63" t="s">
        <v>110</v>
      </c>
      <c r="B107" s="58" t="s">
        <v>111</v>
      </c>
      <c r="C107" s="51">
        <v>226</v>
      </c>
      <c r="D107" s="33">
        <f t="shared" si="44"/>
        <v>0</v>
      </c>
      <c r="E107" s="33">
        <f t="shared" si="45"/>
        <v>0</v>
      </c>
      <c r="F107" s="33"/>
      <c r="G107" s="33">
        <f>SUM('Школы БУ'!G107+'Школы АУ'!G107)</f>
        <v>0</v>
      </c>
      <c r="H107" s="33"/>
      <c r="I107" s="33">
        <f>SUM('Школы БУ'!I107+'Школы АУ'!I107)</f>
        <v>0</v>
      </c>
      <c r="J107" s="33"/>
      <c r="K107" s="33">
        <f>SUM('Школы БУ'!K107+'Школы АУ'!K107)</f>
        <v>0</v>
      </c>
      <c r="L107" s="33"/>
      <c r="M107" s="33">
        <f>SUM('Школы БУ'!M107+'Школы АУ'!M107)</f>
        <v>0</v>
      </c>
      <c r="N107" s="33"/>
      <c r="O107" s="33">
        <f>SUM('Школы БУ'!O107+'Школы АУ'!O107)</f>
        <v>0</v>
      </c>
      <c r="P107" s="33"/>
      <c r="Q107" s="33">
        <f>SUM('Школы БУ'!Q107+'Школы АУ'!Q107)</f>
        <v>0</v>
      </c>
      <c r="R107" s="33"/>
      <c r="S107" s="33">
        <f>SUM('Школы БУ'!S107+'Школы АУ'!S107)</f>
        <v>0</v>
      </c>
      <c r="T107" s="33">
        <f>SUM('Школы БУ'!T107+'Школы АУ'!T107)</f>
        <v>0</v>
      </c>
    </row>
    <row r="108" spans="1:20" s="27" customFormat="1" ht="16.5" x14ac:dyDescent="0.25">
      <c r="A108" s="63" t="s">
        <v>112</v>
      </c>
      <c r="B108" s="58" t="s">
        <v>113</v>
      </c>
      <c r="C108" s="51">
        <v>226</v>
      </c>
      <c r="D108" s="33">
        <f t="shared" si="44"/>
        <v>60000</v>
      </c>
      <c r="E108" s="33">
        <f t="shared" si="45"/>
        <v>0</v>
      </c>
      <c r="F108" s="33"/>
      <c r="G108" s="33">
        <f>SUM('Школы БУ'!G108+'Школы АУ'!G108)</f>
        <v>60000</v>
      </c>
      <c r="H108" s="33">
        <f>SUM('Школы БУ'!H108+'Школы АУ'!H108)</f>
        <v>0</v>
      </c>
      <c r="I108" s="33">
        <f>SUM('Школы БУ'!I108+'Школы АУ'!I108)</f>
        <v>0</v>
      </c>
      <c r="J108" s="33">
        <f>SUM('Школы БУ'!J108+'Школы АУ'!J108)</f>
        <v>0</v>
      </c>
      <c r="K108" s="33">
        <f>SUM('Школы БУ'!K108+'Школы АУ'!K108)</f>
        <v>0</v>
      </c>
      <c r="L108" s="33">
        <f>SUM('Школы БУ'!L108+'Школы АУ'!L108)</f>
        <v>0</v>
      </c>
      <c r="M108" s="33">
        <f>SUM('Школы БУ'!M108+'Школы АУ'!M108)</f>
        <v>0</v>
      </c>
      <c r="N108" s="33">
        <f>SUM('Школы БУ'!N108+'Школы АУ'!N108)</f>
        <v>0</v>
      </c>
      <c r="O108" s="33">
        <f>SUM('Школы БУ'!O108+'Школы АУ'!O108)</f>
        <v>0</v>
      </c>
      <c r="P108" s="33">
        <f>SUM('Школы БУ'!P108+'Школы АУ'!P108)</f>
        <v>0</v>
      </c>
      <c r="Q108" s="33">
        <f>SUM('Школы БУ'!Q108+'Школы АУ'!Q108)</f>
        <v>0</v>
      </c>
      <c r="R108" s="33">
        <f>SUM('Школы БУ'!R108+'Школы АУ'!R108)</f>
        <v>0</v>
      </c>
      <c r="S108" s="33">
        <f>SUM('Школы БУ'!S108+'Школы АУ'!S108)</f>
        <v>0</v>
      </c>
      <c r="T108" s="33">
        <f>SUM('Школы БУ'!T108+'Школы АУ'!T108)</f>
        <v>0</v>
      </c>
    </row>
    <row r="109" spans="1:20" s="27" customFormat="1" ht="33" hidden="1" x14ac:dyDescent="0.25">
      <c r="A109" s="63" t="s">
        <v>114</v>
      </c>
      <c r="B109" s="58" t="s">
        <v>115</v>
      </c>
      <c r="C109" s="51">
        <v>225</v>
      </c>
      <c r="D109" s="33">
        <f t="shared" si="44"/>
        <v>0</v>
      </c>
      <c r="E109" s="33">
        <f t="shared" si="45"/>
        <v>0</v>
      </c>
      <c r="F109" s="33"/>
      <c r="G109" s="33">
        <f>SUM('Школы БУ'!G109+'Школы АУ'!G109)</f>
        <v>0</v>
      </c>
      <c r="H109" s="33">
        <f>SUM('Школы БУ'!H109+'Школы АУ'!H109)</f>
        <v>0</v>
      </c>
      <c r="I109" s="33">
        <f>SUM('Школы БУ'!I109+'Школы АУ'!I109)</f>
        <v>0</v>
      </c>
      <c r="J109" s="33">
        <f>SUM('Школы БУ'!J109+'Школы АУ'!J109)</f>
        <v>0</v>
      </c>
      <c r="K109" s="33">
        <f>SUM('Школы БУ'!K109+'Школы АУ'!K109)</f>
        <v>0</v>
      </c>
      <c r="L109" s="33">
        <f>SUM('Школы БУ'!L109+'Школы АУ'!L109)</f>
        <v>0</v>
      </c>
      <c r="M109" s="33">
        <f>SUM('Школы БУ'!M109+'Школы АУ'!M109)</f>
        <v>0</v>
      </c>
      <c r="N109" s="33">
        <f>SUM('Школы БУ'!N109+'Школы АУ'!N109)</f>
        <v>0</v>
      </c>
      <c r="O109" s="33">
        <f>SUM('Школы БУ'!O109+'Школы АУ'!O109)</f>
        <v>0</v>
      </c>
      <c r="P109" s="33">
        <f>SUM('Школы БУ'!P109+'Школы АУ'!P109)</f>
        <v>0</v>
      </c>
      <c r="Q109" s="33">
        <f>SUM('Школы БУ'!Q109+'Школы АУ'!Q109)</f>
        <v>0</v>
      </c>
      <c r="R109" s="33">
        <f>SUM('Школы БУ'!R109+'Школы АУ'!R109)</f>
        <v>0</v>
      </c>
      <c r="S109" s="33">
        <f>SUM('Школы БУ'!S109+'Школы АУ'!S109)</f>
        <v>0</v>
      </c>
      <c r="T109" s="33">
        <f>SUM('Школы БУ'!T109+'Школы АУ'!T109)</f>
        <v>0</v>
      </c>
    </row>
    <row r="110" spans="1:20" s="27" customFormat="1" ht="16.5" x14ac:dyDescent="0.25">
      <c r="A110" s="63" t="s">
        <v>116</v>
      </c>
      <c r="B110" s="58" t="s">
        <v>117</v>
      </c>
      <c r="C110" s="51">
        <v>225</v>
      </c>
      <c r="D110" s="33">
        <f t="shared" si="44"/>
        <v>2112032</v>
      </c>
      <c r="E110" s="33">
        <f t="shared" si="45"/>
        <v>0</v>
      </c>
      <c r="F110" s="33"/>
      <c r="G110" s="33">
        <f>SUM('Школы БУ'!G110+'Школы АУ'!G110)</f>
        <v>2112032</v>
      </c>
      <c r="H110" s="33">
        <f>SUM('Школы БУ'!H110+'Школы АУ'!H110)</f>
        <v>0</v>
      </c>
      <c r="I110" s="33">
        <f>SUM('Школы БУ'!I110+'Школы АУ'!I110)</f>
        <v>0</v>
      </c>
      <c r="J110" s="33">
        <f>SUM('Школы БУ'!J110+'Школы АУ'!J110)</f>
        <v>0</v>
      </c>
      <c r="K110" s="33">
        <f>SUM('Школы БУ'!K110+'Школы АУ'!K110)</f>
        <v>0</v>
      </c>
      <c r="L110" s="33">
        <f>SUM('Школы БУ'!L110+'Школы АУ'!L110)</f>
        <v>0</v>
      </c>
      <c r="M110" s="33">
        <f>SUM('Школы БУ'!M110+'Школы АУ'!M110)</f>
        <v>0</v>
      </c>
      <c r="N110" s="33">
        <f>SUM('Школы БУ'!N110+'Школы АУ'!N110)</f>
        <v>0</v>
      </c>
      <c r="O110" s="33">
        <f>SUM('Школы БУ'!O110+'Школы АУ'!O110)</f>
        <v>0</v>
      </c>
      <c r="P110" s="33">
        <f>SUM('Школы БУ'!P110+'Школы АУ'!P110)</f>
        <v>0</v>
      </c>
      <c r="Q110" s="33">
        <f>SUM('Школы БУ'!Q110+'Школы АУ'!Q110)</f>
        <v>0</v>
      </c>
      <c r="R110" s="33">
        <f>SUM('Школы БУ'!R110+'Школы АУ'!R110)</f>
        <v>0</v>
      </c>
      <c r="S110" s="33">
        <f>SUM('Школы БУ'!S110+'Школы АУ'!S110)</f>
        <v>0</v>
      </c>
      <c r="T110" s="33">
        <f>SUM('Школы БУ'!T110+'Школы АУ'!T110)</f>
        <v>0</v>
      </c>
    </row>
    <row r="111" spans="1:20" s="27" customFormat="1" ht="16.5" x14ac:dyDescent="0.25">
      <c r="A111" s="63" t="s">
        <v>118</v>
      </c>
      <c r="B111" s="58" t="s">
        <v>119</v>
      </c>
      <c r="C111" s="51">
        <v>226</v>
      </c>
      <c r="D111" s="33">
        <f t="shared" si="44"/>
        <v>36000</v>
      </c>
      <c r="E111" s="33">
        <f t="shared" si="45"/>
        <v>0</v>
      </c>
      <c r="F111" s="33"/>
      <c r="G111" s="33">
        <f>SUM('Школы БУ'!G111+'Школы АУ'!G111)</f>
        <v>36000</v>
      </c>
      <c r="H111" s="33">
        <f>SUM('Школы БУ'!H111+'Школы АУ'!H111)</f>
        <v>0</v>
      </c>
      <c r="I111" s="33">
        <f>SUM('Школы БУ'!I111+'Школы АУ'!I111)</f>
        <v>0</v>
      </c>
      <c r="J111" s="33">
        <f>SUM('Школы БУ'!J111+'Школы АУ'!J111)</f>
        <v>0</v>
      </c>
      <c r="K111" s="33">
        <f>SUM('Школы БУ'!K111+'Школы АУ'!K111)</f>
        <v>0</v>
      </c>
      <c r="L111" s="33">
        <f>SUM('Школы БУ'!L111+'Школы АУ'!L111)</f>
        <v>0</v>
      </c>
      <c r="M111" s="33">
        <f>SUM('Школы БУ'!M111+'Школы АУ'!M111)</f>
        <v>0</v>
      </c>
      <c r="N111" s="33">
        <f>SUM('Школы БУ'!N111+'Школы АУ'!N111)</f>
        <v>0</v>
      </c>
      <c r="O111" s="33">
        <f>SUM('Школы БУ'!O111+'Школы АУ'!O111)</f>
        <v>0</v>
      </c>
      <c r="P111" s="33">
        <f>SUM('Школы БУ'!P111+'Школы АУ'!P111)</f>
        <v>0</v>
      </c>
      <c r="Q111" s="33">
        <f>SUM('Школы БУ'!Q111+'Школы АУ'!Q111)</f>
        <v>0</v>
      </c>
      <c r="R111" s="33">
        <f>SUM('Школы БУ'!R111+'Школы АУ'!R111)</f>
        <v>0</v>
      </c>
      <c r="S111" s="33">
        <f>SUM('Школы БУ'!S111+'Школы АУ'!S111)</f>
        <v>0</v>
      </c>
      <c r="T111" s="33">
        <f>SUM('Школы БУ'!T111+'Школы АУ'!T111)</f>
        <v>0</v>
      </c>
    </row>
    <row r="112" spans="1:20" s="27" customFormat="1" ht="16.5" hidden="1" x14ac:dyDescent="0.25">
      <c r="A112" s="63" t="s">
        <v>118</v>
      </c>
      <c r="B112" s="58" t="s">
        <v>119</v>
      </c>
      <c r="C112" s="51">
        <v>340</v>
      </c>
      <c r="D112" s="33">
        <f t="shared" si="44"/>
        <v>0</v>
      </c>
      <c r="E112" s="33">
        <f t="shared" si="45"/>
        <v>36000</v>
      </c>
      <c r="F112" s="33"/>
      <c r="G112" s="33">
        <f>SUM('Школы БУ'!G112+'Школы АУ'!G112)</f>
        <v>0</v>
      </c>
      <c r="H112" s="33">
        <f>SUM('Школы БУ'!H112+'Школы АУ'!H112)</f>
        <v>36000</v>
      </c>
      <c r="I112" s="33">
        <f>SUM('Школы БУ'!I112+'Школы АУ'!I112)</f>
        <v>0</v>
      </c>
      <c r="J112" s="33">
        <f>SUM('Школы БУ'!J112+'Школы АУ'!J112)</f>
        <v>0</v>
      </c>
      <c r="K112" s="33">
        <f>SUM('Школы БУ'!K112+'Школы АУ'!K112)</f>
        <v>0</v>
      </c>
      <c r="L112" s="33">
        <f>SUM('Школы БУ'!L112+'Школы АУ'!L112)</f>
        <v>0</v>
      </c>
      <c r="M112" s="33">
        <f>SUM('Школы БУ'!M112+'Школы АУ'!M112)</f>
        <v>0</v>
      </c>
      <c r="N112" s="33">
        <f>SUM('Школы БУ'!N112+'Школы АУ'!N112)</f>
        <v>0</v>
      </c>
      <c r="O112" s="33">
        <f>SUM('Школы БУ'!O112+'Школы АУ'!O112)</f>
        <v>0</v>
      </c>
      <c r="P112" s="33">
        <f>SUM('Школы БУ'!P112+'Школы АУ'!P112)</f>
        <v>0</v>
      </c>
      <c r="Q112" s="33">
        <f>SUM('Школы БУ'!Q112+'Школы АУ'!Q112)</f>
        <v>0</v>
      </c>
      <c r="R112" s="33">
        <f>SUM('Школы БУ'!R112+'Школы АУ'!R112)</f>
        <v>0</v>
      </c>
      <c r="S112" s="33">
        <f>SUM('Школы БУ'!S112+'Школы АУ'!S112)</f>
        <v>0</v>
      </c>
      <c r="T112" s="33">
        <f>SUM('Школы БУ'!T112+'Школы АУ'!T112)</f>
        <v>0</v>
      </c>
    </row>
    <row r="113" spans="1:20" s="27" customFormat="1" ht="16.5" hidden="1" x14ac:dyDescent="0.25">
      <c r="A113" s="63" t="s">
        <v>120</v>
      </c>
      <c r="B113" s="58" t="s">
        <v>121</v>
      </c>
      <c r="C113" s="51">
        <v>225</v>
      </c>
      <c r="D113" s="33">
        <f t="shared" si="44"/>
        <v>0</v>
      </c>
      <c r="E113" s="33">
        <f t="shared" si="45"/>
        <v>0</v>
      </c>
      <c r="F113" s="33"/>
      <c r="G113" s="33">
        <f>SUM('Школы БУ'!G113+'Школы АУ'!G113)</f>
        <v>0</v>
      </c>
      <c r="H113" s="33">
        <f>SUM('Школы БУ'!H113+'Школы АУ'!H113)</f>
        <v>0</v>
      </c>
      <c r="I113" s="33">
        <f>SUM('Школы БУ'!I113+'Школы АУ'!I113)</f>
        <v>0</v>
      </c>
      <c r="J113" s="33">
        <f>SUM('Школы БУ'!J113+'Школы АУ'!J113)</f>
        <v>0</v>
      </c>
      <c r="K113" s="33">
        <f>SUM('Школы БУ'!K113+'Школы АУ'!K113)</f>
        <v>0</v>
      </c>
      <c r="L113" s="33">
        <f>SUM('Школы БУ'!L113+'Школы АУ'!L113)</f>
        <v>0</v>
      </c>
      <c r="M113" s="33">
        <f>SUM('Школы БУ'!M113+'Школы АУ'!M113)</f>
        <v>0</v>
      </c>
      <c r="N113" s="33">
        <f>SUM('Школы БУ'!N113+'Школы АУ'!N113)</f>
        <v>0</v>
      </c>
      <c r="O113" s="33">
        <f>SUM('Школы БУ'!O113+'Школы АУ'!O113)</f>
        <v>0</v>
      </c>
      <c r="P113" s="33">
        <f>SUM('Школы БУ'!P113+'Школы АУ'!P113)</f>
        <v>0</v>
      </c>
      <c r="Q113" s="33">
        <f>SUM('Школы БУ'!Q113+'Школы АУ'!Q113)</f>
        <v>0</v>
      </c>
      <c r="R113" s="33">
        <f>SUM('Школы БУ'!R113+'Школы АУ'!R113)</f>
        <v>0</v>
      </c>
      <c r="S113" s="33">
        <f>SUM('Школы БУ'!S113+'Школы АУ'!S113)</f>
        <v>0</v>
      </c>
      <c r="T113" s="33">
        <f>SUM('Школы БУ'!T113+'Школы АУ'!T113)</f>
        <v>0</v>
      </c>
    </row>
    <row r="114" spans="1:20" s="27" customFormat="1" ht="33" x14ac:dyDescent="0.25">
      <c r="A114" s="63" t="s">
        <v>122</v>
      </c>
      <c r="B114" s="58" t="s">
        <v>123</v>
      </c>
      <c r="C114" s="51">
        <v>225</v>
      </c>
      <c r="D114" s="33">
        <f t="shared" si="44"/>
        <v>400000</v>
      </c>
      <c r="E114" s="33">
        <f t="shared" si="45"/>
        <v>0</v>
      </c>
      <c r="F114" s="33"/>
      <c r="G114" s="33">
        <f>SUM('Школы БУ'!G114+'Школы АУ'!G114)</f>
        <v>400000</v>
      </c>
      <c r="H114" s="33">
        <f>SUM('Школы БУ'!H114+'Школы АУ'!H114)</f>
        <v>0</v>
      </c>
      <c r="I114" s="33">
        <f>SUM('Школы БУ'!I114+'Школы АУ'!I114)</f>
        <v>0</v>
      </c>
      <c r="J114" s="33">
        <f>SUM('Школы БУ'!J114+'Школы АУ'!J114)</f>
        <v>0</v>
      </c>
      <c r="K114" s="33">
        <f>SUM('Школы БУ'!K114+'Школы АУ'!K114)</f>
        <v>0</v>
      </c>
      <c r="L114" s="33">
        <f>SUM('Школы БУ'!L114+'Школы АУ'!L114)</f>
        <v>0</v>
      </c>
      <c r="M114" s="33">
        <f>SUM('Школы БУ'!M114+'Школы АУ'!M114)</f>
        <v>0</v>
      </c>
      <c r="N114" s="33">
        <f>SUM('Школы БУ'!N114+'Школы АУ'!N114)</f>
        <v>0</v>
      </c>
      <c r="O114" s="33">
        <f>SUM('Школы БУ'!O114+'Школы АУ'!O114)</f>
        <v>0</v>
      </c>
      <c r="P114" s="33">
        <f>SUM('Школы БУ'!P114+'Школы АУ'!P114)</f>
        <v>0</v>
      </c>
      <c r="Q114" s="33">
        <f>SUM('Школы БУ'!Q114+'Школы АУ'!Q114)</f>
        <v>0</v>
      </c>
      <c r="R114" s="33">
        <f>SUM('Школы БУ'!R114+'Школы АУ'!R114)</f>
        <v>0</v>
      </c>
      <c r="S114" s="33">
        <f>SUM('Школы БУ'!S114+'Школы АУ'!S114)</f>
        <v>0</v>
      </c>
      <c r="T114" s="33">
        <f>SUM('Школы БУ'!T114+'Школы АУ'!T114)</f>
        <v>0</v>
      </c>
    </row>
    <row r="115" spans="1:20" s="27" customFormat="1" ht="33" hidden="1" x14ac:dyDescent="0.25">
      <c r="A115" s="63" t="s">
        <v>122</v>
      </c>
      <c r="B115" s="58" t="s">
        <v>123</v>
      </c>
      <c r="C115" s="51">
        <v>310</v>
      </c>
      <c r="D115" s="33">
        <f t="shared" si="44"/>
        <v>0</v>
      </c>
      <c r="E115" s="33">
        <f t="shared" si="45"/>
        <v>0</v>
      </c>
      <c r="F115" s="33"/>
      <c r="G115" s="33">
        <f>SUM('Школы БУ'!G115+'Школы АУ'!G115)</f>
        <v>0</v>
      </c>
      <c r="H115" s="33"/>
      <c r="I115" s="33">
        <f>SUM('Школы БУ'!I115+'Школы АУ'!I115)</f>
        <v>0</v>
      </c>
      <c r="J115" s="33"/>
      <c r="K115" s="33">
        <f>SUM('Школы БУ'!K115+'Школы АУ'!K115)</f>
        <v>0</v>
      </c>
      <c r="L115" s="33"/>
      <c r="M115" s="33">
        <f>SUM('Школы БУ'!M115+'Школы АУ'!M115)</f>
        <v>0</v>
      </c>
      <c r="N115" s="33"/>
      <c r="O115" s="33">
        <f>SUM('Школы БУ'!O115+'Школы АУ'!O115)</f>
        <v>0</v>
      </c>
      <c r="P115" s="33"/>
      <c r="Q115" s="33">
        <f>SUM('Школы БУ'!Q115+'Школы АУ'!Q115)</f>
        <v>0</v>
      </c>
      <c r="R115" s="33"/>
      <c r="S115" s="33">
        <f>SUM('Школы БУ'!S115+'Школы АУ'!S115)</f>
        <v>0</v>
      </c>
      <c r="T115" s="33">
        <f>SUM('Школы БУ'!T115+'Школы АУ'!T115)</f>
        <v>0</v>
      </c>
    </row>
    <row r="116" spans="1:20" s="27" customFormat="1" ht="16.5" hidden="1" x14ac:dyDescent="0.25">
      <c r="A116" s="63" t="s">
        <v>124</v>
      </c>
      <c r="B116" s="58" t="s">
        <v>125</v>
      </c>
      <c r="C116" s="51">
        <v>225</v>
      </c>
      <c r="D116" s="33">
        <f t="shared" si="44"/>
        <v>0</v>
      </c>
      <c r="E116" s="33">
        <f t="shared" si="45"/>
        <v>0</v>
      </c>
      <c r="F116" s="33"/>
      <c r="G116" s="33">
        <f>SUM('Школы БУ'!G116+'Школы АУ'!G116)</f>
        <v>0</v>
      </c>
      <c r="H116" s="33"/>
      <c r="I116" s="33">
        <f>SUM('Школы БУ'!I116+'Школы АУ'!I116)</f>
        <v>0</v>
      </c>
      <c r="J116" s="33"/>
      <c r="K116" s="33">
        <f>SUM('Школы БУ'!K116+'Школы АУ'!K116)</f>
        <v>0</v>
      </c>
      <c r="L116" s="33"/>
      <c r="M116" s="33">
        <f>SUM('Школы БУ'!M116+'Школы АУ'!M116)</f>
        <v>0</v>
      </c>
      <c r="N116" s="33"/>
      <c r="O116" s="33">
        <f>SUM('Школы БУ'!O116+'Школы АУ'!O116)</f>
        <v>0</v>
      </c>
      <c r="P116" s="33"/>
      <c r="Q116" s="33">
        <f>SUM('Школы БУ'!Q116+'Школы АУ'!Q116)</f>
        <v>0</v>
      </c>
      <c r="R116" s="33"/>
      <c r="S116" s="33">
        <f>SUM('Школы БУ'!S116+'Школы АУ'!S116)</f>
        <v>0</v>
      </c>
      <c r="T116" s="33">
        <f>SUM('Школы БУ'!T116+'Школы АУ'!T116)</f>
        <v>0</v>
      </c>
    </row>
    <row r="117" spans="1:20" s="29" customFormat="1" ht="16.5" hidden="1" x14ac:dyDescent="0.25">
      <c r="A117" s="63" t="s">
        <v>126</v>
      </c>
      <c r="B117" s="28" t="s">
        <v>127</v>
      </c>
      <c r="C117" s="51">
        <v>226</v>
      </c>
      <c r="D117" s="33">
        <f t="shared" si="44"/>
        <v>0</v>
      </c>
      <c r="E117" s="33">
        <f t="shared" si="45"/>
        <v>0</v>
      </c>
      <c r="F117" s="33"/>
      <c r="G117" s="33">
        <f>SUM('Школы БУ'!G117+'Школы АУ'!G117)</f>
        <v>0</v>
      </c>
      <c r="H117" s="33"/>
      <c r="I117" s="33">
        <f>SUM('Школы БУ'!I117+'Школы АУ'!I117)</f>
        <v>0</v>
      </c>
      <c r="J117" s="33"/>
      <c r="K117" s="33">
        <f>SUM('Школы БУ'!K117+'Школы АУ'!K117)</f>
        <v>0</v>
      </c>
      <c r="L117" s="33"/>
      <c r="M117" s="33">
        <f>SUM('Школы БУ'!M117+'Школы АУ'!M117)</f>
        <v>0</v>
      </c>
      <c r="N117" s="33"/>
      <c r="O117" s="33">
        <f>SUM('Школы БУ'!O117+'Школы АУ'!O117)</f>
        <v>0</v>
      </c>
      <c r="P117" s="33"/>
      <c r="Q117" s="33">
        <f>SUM('Школы БУ'!Q117+'Школы АУ'!Q117)</f>
        <v>0</v>
      </c>
      <c r="R117" s="33"/>
      <c r="S117" s="33">
        <f>SUM('Школы БУ'!S117+'Школы АУ'!S117)</f>
        <v>0</v>
      </c>
      <c r="T117" s="33">
        <f>SUM('Школы БУ'!T117+'Школы АУ'!T117)</f>
        <v>0</v>
      </c>
    </row>
    <row r="118" spans="1:20" s="18" customFormat="1" ht="17.25" hidden="1" x14ac:dyDescent="0.25">
      <c r="A118" s="61" t="s">
        <v>128</v>
      </c>
      <c r="B118" s="62" t="s">
        <v>129</v>
      </c>
      <c r="C118" s="49"/>
      <c r="D118" s="33">
        <f t="shared" si="44"/>
        <v>0</v>
      </c>
      <c r="E118" s="33">
        <f t="shared" si="45"/>
        <v>0</v>
      </c>
      <c r="F118" s="33"/>
      <c r="G118" s="33">
        <f>SUM('Школы БУ'!G118+'Школы АУ'!G118)</f>
        <v>0</v>
      </c>
      <c r="H118" s="34"/>
      <c r="I118" s="34">
        <f t="shared" ref="I118:S118" si="49">SUM(I119:I122)</f>
        <v>0</v>
      </c>
      <c r="J118" s="34"/>
      <c r="K118" s="34">
        <f t="shared" si="49"/>
        <v>0</v>
      </c>
      <c r="L118" s="34"/>
      <c r="M118" s="34">
        <f t="shared" si="49"/>
        <v>0</v>
      </c>
      <c r="N118" s="34"/>
      <c r="O118" s="34">
        <f t="shared" si="49"/>
        <v>0</v>
      </c>
      <c r="P118" s="34"/>
      <c r="Q118" s="34">
        <f t="shared" si="49"/>
        <v>0</v>
      </c>
      <c r="R118" s="34"/>
      <c r="S118" s="34">
        <f t="shared" si="49"/>
        <v>0</v>
      </c>
      <c r="T118" s="34">
        <f t="shared" ref="T118" si="50">SUM(T119:T122)</f>
        <v>0</v>
      </c>
    </row>
    <row r="119" spans="1:20" s="27" customFormat="1" ht="16.5" hidden="1" x14ac:dyDescent="0.25">
      <c r="A119" s="63" t="s">
        <v>130</v>
      </c>
      <c r="B119" s="58" t="s">
        <v>131</v>
      </c>
      <c r="C119" s="51">
        <v>310</v>
      </c>
      <c r="D119" s="33">
        <f t="shared" si="44"/>
        <v>0</v>
      </c>
      <c r="E119" s="33">
        <f t="shared" si="45"/>
        <v>0</v>
      </c>
      <c r="F119" s="33"/>
      <c r="G119" s="33">
        <f>SUM('Школы БУ'!G119+'Школы АУ'!G119)</f>
        <v>0</v>
      </c>
      <c r="H119" s="33"/>
      <c r="I119" s="33">
        <f>SUM('Школы БУ'!I119+'Школы АУ'!I119)</f>
        <v>0</v>
      </c>
      <c r="J119" s="33"/>
      <c r="K119" s="33">
        <f>SUM('Школы БУ'!K119+'Школы АУ'!K119)</f>
        <v>0</v>
      </c>
      <c r="L119" s="33"/>
      <c r="M119" s="33">
        <f>SUM('Школы БУ'!M119+'Школы АУ'!M119)</f>
        <v>0</v>
      </c>
      <c r="N119" s="33"/>
      <c r="O119" s="33">
        <f>SUM('Школы БУ'!O119+'Школы АУ'!O119)</f>
        <v>0</v>
      </c>
      <c r="P119" s="33"/>
      <c r="Q119" s="33">
        <f>SUM('Школы БУ'!Q119+'Школы АУ'!Q119)</f>
        <v>0</v>
      </c>
      <c r="R119" s="33"/>
      <c r="S119" s="33">
        <f>SUM('Школы БУ'!S119+'Школы АУ'!S119)</f>
        <v>0</v>
      </c>
      <c r="T119" s="33">
        <f>SUM('Школы БУ'!T119+'Школы АУ'!T119)</f>
        <v>0</v>
      </c>
    </row>
    <row r="120" spans="1:20" s="27" customFormat="1" ht="33" hidden="1" x14ac:dyDescent="0.25">
      <c r="A120" s="63" t="s">
        <v>132</v>
      </c>
      <c r="B120" s="58" t="s">
        <v>133</v>
      </c>
      <c r="C120" s="51">
        <v>310</v>
      </c>
      <c r="D120" s="33">
        <f t="shared" si="44"/>
        <v>0</v>
      </c>
      <c r="E120" s="33">
        <f t="shared" si="45"/>
        <v>0</v>
      </c>
      <c r="F120" s="33"/>
      <c r="G120" s="33">
        <f>SUM('Школы БУ'!G120+'Школы АУ'!G120)</f>
        <v>0</v>
      </c>
      <c r="H120" s="33"/>
      <c r="I120" s="33">
        <f>SUM('Школы БУ'!I120+'Школы АУ'!I120)</f>
        <v>0</v>
      </c>
      <c r="J120" s="33"/>
      <c r="K120" s="33">
        <f>SUM('Школы БУ'!K120+'Школы АУ'!K120)</f>
        <v>0</v>
      </c>
      <c r="L120" s="33"/>
      <c r="M120" s="33">
        <f>SUM('Школы БУ'!M120+'Школы АУ'!M120)</f>
        <v>0</v>
      </c>
      <c r="N120" s="33"/>
      <c r="O120" s="33">
        <f>SUM('Школы БУ'!O120+'Школы АУ'!O120)</f>
        <v>0</v>
      </c>
      <c r="P120" s="33"/>
      <c r="Q120" s="33">
        <f>SUM('Школы БУ'!Q120+'Школы АУ'!Q120)</f>
        <v>0</v>
      </c>
      <c r="R120" s="33"/>
      <c r="S120" s="33">
        <f>SUM('Школы БУ'!S120+'Школы АУ'!S120)</f>
        <v>0</v>
      </c>
      <c r="T120" s="33">
        <f>SUM('Школы БУ'!T120+'Школы АУ'!T120)</f>
        <v>0</v>
      </c>
    </row>
    <row r="121" spans="1:20" s="27" customFormat="1" ht="16.5" hidden="1" x14ac:dyDescent="0.25">
      <c r="A121" s="63" t="s">
        <v>134</v>
      </c>
      <c r="B121" s="58" t="s">
        <v>135</v>
      </c>
      <c r="C121" s="51">
        <v>310</v>
      </c>
      <c r="D121" s="33">
        <f t="shared" si="44"/>
        <v>0</v>
      </c>
      <c r="E121" s="33">
        <f t="shared" si="45"/>
        <v>0</v>
      </c>
      <c r="F121" s="33"/>
      <c r="G121" s="33">
        <f>SUM('Школы БУ'!G121+'Школы АУ'!G121)</f>
        <v>0</v>
      </c>
      <c r="H121" s="33"/>
      <c r="I121" s="33">
        <f>SUM('Школы БУ'!I121+'Школы АУ'!I121)</f>
        <v>0</v>
      </c>
      <c r="J121" s="33"/>
      <c r="K121" s="33">
        <f>SUM('Школы БУ'!K121+'Школы АУ'!K121)</f>
        <v>0</v>
      </c>
      <c r="L121" s="33"/>
      <c r="M121" s="33">
        <f>SUM('Школы БУ'!M121+'Школы АУ'!M121)</f>
        <v>0</v>
      </c>
      <c r="N121" s="33"/>
      <c r="O121" s="33">
        <f>SUM('Школы БУ'!O121+'Школы АУ'!O121)</f>
        <v>0</v>
      </c>
      <c r="P121" s="33"/>
      <c r="Q121" s="33">
        <f>SUM('Школы БУ'!Q121+'Школы АУ'!Q121)</f>
        <v>0</v>
      </c>
      <c r="R121" s="33"/>
      <c r="S121" s="33">
        <f>SUM('Школы БУ'!S121+'Школы АУ'!S121)</f>
        <v>0</v>
      </c>
      <c r="T121" s="33">
        <f>SUM('Школы БУ'!T121+'Школы АУ'!T121)</f>
        <v>0</v>
      </c>
    </row>
    <row r="122" spans="1:20" s="27" customFormat="1" ht="16.5" hidden="1" x14ac:dyDescent="0.25">
      <c r="A122" s="63" t="s">
        <v>136</v>
      </c>
      <c r="B122" s="58" t="s">
        <v>137</v>
      </c>
      <c r="C122" s="51">
        <v>226</v>
      </c>
      <c r="D122" s="33">
        <f t="shared" si="44"/>
        <v>0</v>
      </c>
      <c r="E122" s="33">
        <f t="shared" si="45"/>
        <v>0</v>
      </c>
      <c r="F122" s="33"/>
      <c r="G122" s="33">
        <f>SUM('Школы БУ'!G122+'Школы АУ'!G122)</f>
        <v>0</v>
      </c>
      <c r="H122" s="33"/>
      <c r="I122" s="33">
        <f>SUM('Школы БУ'!I122+'Школы АУ'!I122)</f>
        <v>0</v>
      </c>
      <c r="J122" s="33"/>
      <c r="K122" s="33">
        <f>SUM('Школы БУ'!K122+'Школы АУ'!K122)</f>
        <v>0</v>
      </c>
      <c r="L122" s="33"/>
      <c r="M122" s="33">
        <f>SUM('Школы БУ'!M122+'Школы АУ'!M122)</f>
        <v>0</v>
      </c>
      <c r="N122" s="33"/>
      <c r="O122" s="33">
        <f>SUM('Школы БУ'!O122+'Школы АУ'!O122)</f>
        <v>0</v>
      </c>
      <c r="P122" s="33"/>
      <c r="Q122" s="33">
        <f>SUM('Школы БУ'!Q122+'Школы АУ'!Q122)</f>
        <v>0</v>
      </c>
      <c r="R122" s="33"/>
      <c r="S122" s="33">
        <f>SUM('Школы БУ'!S122+'Школы АУ'!S122)</f>
        <v>0</v>
      </c>
      <c r="T122" s="33">
        <f>SUM('Школы БУ'!T122+'Школы АУ'!T122)</f>
        <v>0</v>
      </c>
    </row>
    <row r="123" spans="1:20" s="18" customFormat="1" ht="34.5" x14ac:dyDescent="0.25">
      <c r="A123" s="61" t="s">
        <v>287</v>
      </c>
      <c r="B123" s="62" t="s">
        <v>288</v>
      </c>
      <c r="C123" s="49"/>
      <c r="D123" s="34">
        <f>SUM('Школы БУ'!D123+'Школы АУ'!D123)</f>
        <v>177022.09</v>
      </c>
      <c r="E123" s="34">
        <f>SUM('Школы БУ'!E123+'Школы АУ'!E123)</f>
        <v>0</v>
      </c>
      <c r="F123" s="34">
        <f>SUM('Школы БУ'!F123+'Школы АУ'!F123)</f>
        <v>0</v>
      </c>
      <c r="G123" s="34">
        <f>SUM('Школы БУ'!G123+'Школы АУ'!G123)</f>
        <v>0</v>
      </c>
      <c r="H123" s="34">
        <f>SUM('Школы БУ'!H123+'Школы АУ'!H123)</f>
        <v>0</v>
      </c>
      <c r="I123" s="34">
        <f>SUM('Школы БУ'!I123+'Школы АУ'!I123)</f>
        <v>0</v>
      </c>
      <c r="J123" s="34">
        <f>SUM('Школы БУ'!J123+'Школы АУ'!J123)</f>
        <v>0</v>
      </c>
      <c r="K123" s="34">
        <f>SUM('Школы БУ'!K123+'Школы АУ'!K123)</f>
        <v>0</v>
      </c>
      <c r="L123" s="34">
        <f>SUM('Школы БУ'!L123+'Школы АУ'!L123)</f>
        <v>0</v>
      </c>
      <c r="M123" s="34">
        <f>SUM('Школы БУ'!M123+'Школы АУ'!M123)</f>
        <v>0</v>
      </c>
      <c r="N123" s="34">
        <f>SUM('Школы БУ'!N123+'Школы АУ'!N123)</f>
        <v>0</v>
      </c>
      <c r="O123" s="34">
        <f>SUM('Школы БУ'!O123+'Школы АУ'!O123)</f>
        <v>0</v>
      </c>
      <c r="P123" s="34">
        <f>SUM('Школы БУ'!P123+'Школы АУ'!P123)</f>
        <v>0</v>
      </c>
      <c r="Q123" s="34">
        <f>SUM('Школы БУ'!Q123+'Школы АУ'!Q123)</f>
        <v>177022.09</v>
      </c>
      <c r="R123" s="34">
        <f>SUM('Школы БУ'!R123+'Школы АУ'!R123)</f>
        <v>0</v>
      </c>
      <c r="S123" s="34">
        <f>SUM('Школы БУ'!S123+'Школы АУ'!S123)</f>
        <v>0</v>
      </c>
      <c r="T123" s="34">
        <f>SUM('Школы БУ'!T123+'Школы АУ'!T123)</f>
        <v>0</v>
      </c>
    </row>
    <row r="124" spans="1:20" s="27" customFormat="1" ht="17.25" x14ac:dyDescent="0.25">
      <c r="A124" s="75"/>
      <c r="B124" s="76"/>
      <c r="C124" s="77"/>
      <c r="D124" s="33">
        <f>SUM('Школы БУ'!D124+'Школы АУ'!D124)</f>
        <v>0</v>
      </c>
      <c r="E124" s="33">
        <f>SUM('Школы БУ'!E124+'Школы АУ'!E124)</f>
        <v>0</v>
      </c>
      <c r="F124" s="33">
        <f>SUM('Школы БУ'!F124+'Школы АУ'!F124)</f>
        <v>0</v>
      </c>
      <c r="G124" s="33">
        <f>SUM('Школы БУ'!G124+'Школы АУ'!G124)</f>
        <v>0</v>
      </c>
      <c r="H124" s="33">
        <f>SUM('Школы БУ'!H124+'Школы АУ'!H124)</f>
        <v>0</v>
      </c>
      <c r="I124" s="33">
        <f>SUM('Школы БУ'!I124+'Школы АУ'!I124)</f>
        <v>0</v>
      </c>
      <c r="J124" s="33">
        <f>SUM('Школы БУ'!J124+'Школы АУ'!J124)</f>
        <v>0</v>
      </c>
      <c r="K124" s="33">
        <f>SUM('Школы БУ'!K124+'Школы АУ'!K124)</f>
        <v>0</v>
      </c>
      <c r="L124" s="33">
        <f>SUM('Школы БУ'!L124+'Школы АУ'!L124)</f>
        <v>0</v>
      </c>
      <c r="M124" s="33">
        <f>SUM('Школы БУ'!M124+'Школы АУ'!M124)</f>
        <v>0</v>
      </c>
      <c r="N124" s="33">
        <f>SUM('Школы БУ'!N124+'Школы АУ'!N124)</f>
        <v>0</v>
      </c>
      <c r="O124" s="33">
        <f>SUM('Школы БУ'!O124+'Школы АУ'!O124)</f>
        <v>0</v>
      </c>
      <c r="P124" s="33">
        <f>SUM('Школы БУ'!P124+'Школы АУ'!P124)</f>
        <v>0</v>
      </c>
      <c r="Q124" s="33">
        <f>SUM('Школы БУ'!Q124+'Школы АУ'!Q124)</f>
        <v>0</v>
      </c>
      <c r="R124" s="33">
        <f>SUM('Школы БУ'!R124+'Школы АУ'!R124)</f>
        <v>0</v>
      </c>
      <c r="S124" s="33">
        <f>SUM('Школы БУ'!S124+'Школы АУ'!S124)</f>
        <v>0</v>
      </c>
      <c r="T124" s="33">
        <f>SUM('Школы БУ'!T124+'Школы АУ'!T124)</f>
        <v>0</v>
      </c>
    </row>
    <row r="125" spans="1:20" s="27" customFormat="1" ht="17.25" x14ac:dyDescent="0.25">
      <c r="A125" s="75"/>
      <c r="B125" s="76"/>
      <c r="C125" s="77"/>
      <c r="D125" s="33">
        <f>SUM('Школы БУ'!D125+'Школы АУ'!D125)</f>
        <v>100000</v>
      </c>
      <c r="E125" s="33">
        <f>SUM('Школы БУ'!E125+'Школы АУ'!E125)</f>
        <v>0</v>
      </c>
      <c r="F125" s="33">
        <f>SUM('Школы БУ'!F125+'Школы АУ'!F125)</f>
        <v>0</v>
      </c>
      <c r="G125" s="33">
        <f>SUM('Школы БУ'!G125+'Школы АУ'!G125)</f>
        <v>0</v>
      </c>
      <c r="H125" s="33">
        <f>SUM('Школы БУ'!H125+'Школы АУ'!H125)</f>
        <v>0</v>
      </c>
      <c r="I125" s="33">
        <f>SUM('Школы БУ'!I125+'Школы АУ'!I125)</f>
        <v>0</v>
      </c>
      <c r="J125" s="33">
        <f>SUM('Школы БУ'!J125+'Школы АУ'!J125)</f>
        <v>0</v>
      </c>
      <c r="K125" s="33">
        <f>SUM('Школы БУ'!K125+'Школы АУ'!K125)</f>
        <v>0</v>
      </c>
      <c r="L125" s="33">
        <f>SUM('Школы БУ'!L125+'Школы АУ'!L125)</f>
        <v>0</v>
      </c>
      <c r="M125" s="33">
        <f>SUM('Школы БУ'!M125+'Школы АУ'!M125)</f>
        <v>0</v>
      </c>
      <c r="N125" s="33">
        <f>SUM('Школы БУ'!N125+'Школы АУ'!N125)</f>
        <v>0</v>
      </c>
      <c r="O125" s="33">
        <f>SUM('Школы БУ'!O125+'Школы АУ'!O125)</f>
        <v>0</v>
      </c>
      <c r="P125" s="33">
        <f>SUM('Школы БУ'!P125+'Школы АУ'!P125)</f>
        <v>0</v>
      </c>
      <c r="Q125" s="33">
        <f>SUM('Школы БУ'!Q125+'Школы АУ'!Q125)</f>
        <v>100000</v>
      </c>
      <c r="R125" s="33">
        <f>SUM('Школы БУ'!R125+'Школы АУ'!R125)</f>
        <v>0</v>
      </c>
      <c r="S125" s="33">
        <f>SUM('Школы БУ'!S125+'Школы АУ'!S125)</f>
        <v>0</v>
      </c>
      <c r="T125" s="33">
        <f>SUM('Школы БУ'!T125+'Школы АУ'!T125)</f>
        <v>0</v>
      </c>
    </row>
    <row r="126" spans="1:20" s="27" customFormat="1" ht="16.5" x14ac:dyDescent="0.25">
      <c r="A126" s="63" t="s">
        <v>289</v>
      </c>
      <c r="B126" s="58" t="s">
        <v>290</v>
      </c>
      <c r="C126" s="51">
        <v>310</v>
      </c>
      <c r="D126" s="33">
        <f>SUM('Школы БУ'!D126+'Школы АУ'!D126)</f>
        <v>5.04</v>
      </c>
      <c r="E126" s="33">
        <f>SUM('Школы БУ'!E126+'Школы АУ'!E126)</f>
        <v>0</v>
      </c>
      <c r="F126" s="33">
        <f>SUM('Школы БУ'!F126+'Школы АУ'!F126)</f>
        <v>0</v>
      </c>
      <c r="G126" s="33">
        <f>SUM('Школы БУ'!G126+'Школы АУ'!G126)</f>
        <v>0</v>
      </c>
      <c r="H126" s="33">
        <f>SUM('Школы БУ'!H126+'Школы АУ'!H126)</f>
        <v>0</v>
      </c>
      <c r="I126" s="33">
        <f>SUM('Школы БУ'!I126+'Школы АУ'!I126)</f>
        <v>0</v>
      </c>
      <c r="J126" s="33">
        <f>SUM('Школы БУ'!J126+'Школы АУ'!J126)</f>
        <v>0</v>
      </c>
      <c r="K126" s="33">
        <f>SUM('Школы БУ'!K126+'Школы АУ'!K126)</f>
        <v>0</v>
      </c>
      <c r="L126" s="33">
        <f>SUM('Школы БУ'!L126+'Школы АУ'!L126)</f>
        <v>0</v>
      </c>
      <c r="M126" s="33">
        <f>SUM('Школы БУ'!M126+'Школы АУ'!M126)</f>
        <v>0</v>
      </c>
      <c r="N126" s="33">
        <f>SUM('Школы БУ'!N126+'Школы АУ'!N126)</f>
        <v>0</v>
      </c>
      <c r="O126" s="33">
        <f>SUM('Школы БУ'!O126+'Школы АУ'!O126)</f>
        <v>0</v>
      </c>
      <c r="P126" s="33">
        <f>SUM('Школы БУ'!P126+'Школы АУ'!P126)</f>
        <v>0</v>
      </c>
      <c r="Q126" s="33">
        <f>SUM('Школы БУ'!Q126+'Школы АУ'!Q126)</f>
        <v>5.04</v>
      </c>
      <c r="R126" s="33">
        <f>SUM('Школы БУ'!R126+'Школы АУ'!R126)</f>
        <v>0</v>
      </c>
      <c r="S126" s="33">
        <f>SUM('Школы БУ'!S126+'Школы АУ'!S126)</f>
        <v>0</v>
      </c>
      <c r="T126" s="33">
        <f>SUM('Школы БУ'!T126+'Школы АУ'!T126)</f>
        <v>0</v>
      </c>
    </row>
    <row r="127" spans="1:20" s="27" customFormat="1" ht="16.5" x14ac:dyDescent="0.25">
      <c r="A127" s="63"/>
      <c r="B127" s="58"/>
      <c r="C127" s="51"/>
      <c r="D127" s="33">
        <f>SUM('Школы БУ'!D127+'Школы АУ'!D127)</f>
        <v>50000</v>
      </c>
      <c r="E127" s="33">
        <f>SUM('Школы БУ'!E127+'Школы АУ'!E127)</f>
        <v>0</v>
      </c>
      <c r="F127" s="33">
        <f>SUM('Школы БУ'!F127+'Школы АУ'!F127)</f>
        <v>0</v>
      </c>
      <c r="G127" s="33">
        <f>SUM('Школы БУ'!G127+'Школы АУ'!G127)</f>
        <v>0</v>
      </c>
      <c r="H127" s="33">
        <f>SUM('Школы БУ'!H127+'Школы АУ'!H127)</f>
        <v>0</v>
      </c>
      <c r="I127" s="33">
        <f>SUM('Школы БУ'!I127+'Школы АУ'!I127)</f>
        <v>0</v>
      </c>
      <c r="J127" s="33">
        <f>SUM('Школы БУ'!J127+'Школы АУ'!J127)</f>
        <v>0</v>
      </c>
      <c r="K127" s="33">
        <f>SUM('Школы БУ'!K127+'Школы АУ'!K127)</f>
        <v>0</v>
      </c>
      <c r="L127" s="33">
        <f>SUM('Школы БУ'!L127+'Школы АУ'!L127)</f>
        <v>0</v>
      </c>
      <c r="M127" s="33">
        <f>SUM('Школы БУ'!M127+'Школы АУ'!M127)</f>
        <v>0</v>
      </c>
      <c r="N127" s="33">
        <f>SUM('Школы БУ'!N127+'Школы АУ'!N127)</f>
        <v>0</v>
      </c>
      <c r="O127" s="33">
        <f>SUM('Школы БУ'!O127+'Школы АУ'!O127)</f>
        <v>0</v>
      </c>
      <c r="P127" s="33">
        <f>SUM('Школы БУ'!P127+'Школы АУ'!P127)</f>
        <v>0</v>
      </c>
      <c r="Q127" s="33">
        <f>SUM('Школы БУ'!Q127+'Школы АУ'!Q127)</f>
        <v>50000</v>
      </c>
      <c r="R127" s="33">
        <f>SUM('Школы БУ'!R127+'Школы АУ'!R127)</f>
        <v>0</v>
      </c>
      <c r="S127" s="33">
        <f>SUM('Школы БУ'!S127+'Школы АУ'!S127)</f>
        <v>0</v>
      </c>
      <c r="T127" s="33">
        <f>SUM('Школы БУ'!T127+'Школы АУ'!T127)</f>
        <v>0</v>
      </c>
    </row>
    <row r="128" spans="1:20" s="27" customFormat="1" ht="16.5" x14ac:dyDescent="0.25">
      <c r="A128" s="63" t="s">
        <v>289</v>
      </c>
      <c r="B128" s="58" t="s">
        <v>290</v>
      </c>
      <c r="C128" s="51">
        <v>212</v>
      </c>
      <c r="D128" s="33">
        <f>SUM('Школы БУ'!D128+'Школы АУ'!D128)</f>
        <v>27017.050000000003</v>
      </c>
      <c r="E128" s="33">
        <f>SUM('Школы БУ'!E128+'Школы АУ'!E128)</f>
        <v>0</v>
      </c>
      <c r="F128" s="33">
        <f>SUM('Школы БУ'!F128+'Школы АУ'!F128)</f>
        <v>0</v>
      </c>
      <c r="G128" s="33">
        <f>SUM('Школы БУ'!G128+'Школы АУ'!G128)</f>
        <v>0</v>
      </c>
      <c r="H128" s="33">
        <f>SUM('Школы БУ'!H128+'Школы АУ'!H128)</f>
        <v>0</v>
      </c>
      <c r="I128" s="33">
        <f>SUM('Школы БУ'!I128+'Школы АУ'!I128)</f>
        <v>0</v>
      </c>
      <c r="J128" s="33">
        <f>SUM('Школы БУ'!J128+'Школы АУ'!J128)</f>
        <v>0</v>
      </c>
      <c r="K128" s="33">
        <f>SUM('Школы БУ'!K128+'Школы АУ'!K128)</f>
        <v>0</v>
      </c>
      <c r="L128" s="33">
        <f>SUM('Школы БУ'!L128+'Школы АУ'!L128)</f>
        <v>0</v>
      </c>
      <c r="M128" s="33">
        <f>SUM('Школы БУ'!M128+'Школы АУ'!M128)</f>
        <v>0</v>
      </c>
      <c r="N128" s="33">
        <f>SUM('Школы БУ'!N128+'Школы АУ'!N128)</f>
        <v>0</v>
      </c>
      <c r="O128" s="33">
        <f>SUM('Школы БУ'!O128+'Школы АУ'!O128)</f>
        <v>0</v>
      </c>
      <c r="P128" s="33">
        <f>SUM('Школы БУ'!P128+'Школы АУ'!P128)</f>
        <v>0</v>
      </c>
      <c r="Q128" s="33">
        <f>SUM('Школы БУ'!Q128+'Школы АУ'!Q128)</f>
        <v>27017.050000000003</v>
      </c>
      <c r="R128" s="33">
        <f>SUM('Школы БУ'!R128+'Школы АУ'!R128)</f>
        <v>0</v>
      </c>
      <c r="S128" s="33">
        <f>SUM('Школы БУ'!S128+'Школы АУ'!S128)</f>
        <v>0</v>
      </c>
      <c r="T128" s="33">
        <f>SUM('Школы БУ'!T128+'Школы АУ'!T128)</f>
        <v>0</v>
      </c>
    </row>
    <row r="129" spans="1:20" s="18" customFormat="1" ht="34.5" x14ac:dyDescent="0.25">
      <c r="A129" s="65" t="s">
        <v>138</v>
      </c>
      <c r="B129" s="66" t="s">
        <v>139</v>
      </c>
      <c r="C129" s="67"/>
      <c r="D129" s="34">
        <f t="shared" ref="D129:T129" si="51">SUM(D130:D130)</f>
        <v>0</v>
      </c>
      <c r="E129" s="34">
        <f t="shared" si="51"/>
        <v>0</v>
      </c>
      <c r="F129" s="34">
        <f t="shared" si="51"/>
        <v>0</v>
      </c>
      <c r="G129" s="34">
        <f t="shared" si="51"/>
        <v>0</v>
      </c>
      <c r="H129" s="34">
        <f t="shared" si="51"/>
        <v>0</v>
      </c>
      <c r="I129" s="34">
        <f t="shared" si="51"/>
        <v>0</v>
      </c>
      <c r="J129" s="34">
        <f t="shared" si="51"/>
        <v>0</v>
      </c>
      <c r="K129" s="34">
        <f t="shared" si="51"/>
        <v>0</v>
      </c>
      <c r="L129" s="34">
        <f t="shared" si="51"/>
        <v>0</v>
      </c>
      <c r="M129" s="34">
        <f t="shared" si="51"/>
        <v>0</v>
      </c>
      <c r="N129" s="34">
        <f t="shared" si="51"/>
        <v>0</v>
      </c>
      <c r="O129" s="34">
        <f t="shared" si="51"/>
        <v>0</v>
      </c>
      <c r="P129" s="34">
        <f t="shared" si="51"/>
        <v>0</v>
      </c>
      <c r="Q129" s="34">
        <f t="shared" si="51"/>
        <v>0</v>
      </c>
      <c r="R129" s="34">
        <f t="shared" si="51"/>
        <v>0</v>
      </c>
      <c r="S129" s="34">
        <f t="shared" si="51"/>
        <v>0</v>
      </c>
      <c r="T129" s="34">
        <f t="shared" si="51"/>
        <v>0</v>
      </c>
    </row>
    <row r="130" spans="1:20" s="29" customFormat="1" ht="16.5" x14ac:dyDescent="0.25">
      <c r="A130" s="68"/>
      <c r="B130" s="64" t="s">
        <v>140</v>
      </c>
      <c r="C130" s="69">
        <v>226</v>
      </c>
      <c r="D130" s="33">
        <f>SUM('Школы БУ'!D130+'Школы АУ'!D130)</f>
        <v>0</v>
      </c>
      <c r="E130" s="33">
        <f>SUM('Школы БУ'!E130+'Школы АУ'!E130)</f>
        <v>0</v>
      </c>
      <c r="F130" s="33">
        <f>SUM('Школы БУ'!F130+'Школы АУ'!F130)</f>
        <v>0</v>
      </c>
      <c r="G130" s="33">
        <f>SUM('Школы БУ'!G130+'Школы АУ'!G130)</f>
        <v>0</v>
      </c>
      <c r="H130" s="33">
        <f>SUM('Школы БУ'!H130+'Школы АУ'!H130)</f>
        <v>0</v>
      </c>
      <c r="I130" s="33">
        <f>SUM('Школы БУ'!I130+'Школы АУ'!I130)</f>
        <v>0</v>
      </c>
      <c r="J130" s="33">
        <f>SUM('Школы БУ'!J130+'Школы АУ'!J130)</f>
        <v>0</v>
      </c>
      <c r="K130" s="33">
        <f>SUM('Школы БУ'!K130+'Школы АУ'!K130)</f>
        <v>0</v>
      </c>
      <c r="L130" s="33">
        <f>SUM('Школы БУ'!L130+'Школы АУ'!L130)</f>
        <v>0</v>
      </c>
      <c r="M130" s="33">
        <f>SUM('Школы БУ'!M130+'Школы АУ'!M130)</f>
        <v>0</v>
      </c>
      <c r="N130" s="33">
        <f>SUM('Школы БУ'!N130+'Школы АУ'!N130)</f>
        <v>0</v>
      </c>
      <c r="O130" s="33">
        <f>SUM('Школы БУ'!O130+'Школы АУ'!O130)</f>
        <v>0</v>
      </c>
      <c r="P130" s="33">
        <f>SUM('Школы БУ'!P130+'Школы АУ'!P130)</f>
        <v>0</v>
      </c>
      <c r="Q130" s="33">
        <f>SUM('Школы БУ'!Q130+'Школы АУ'!Q130)</f>
        <v>0</v>
      </c>
      <c r="R130" s="33">
        <f>SUM('Школы БУ'!R130+'Школы АУ'!R130)</f>
        <v>0</v>
      </c>
      <c r="S130" s="33">
        <f>SUM('Школы БУ'!S130+'Школы АУ'!S130)</f>
        <v>0</v>
      </c>
      <c r="T130" s="33">
        <f>SUM('Школы БУ'!T130+'Школы АУ'!T130)</f>
        <v>0</v>
      </c>
    </row>
    <row r="131" spans="1:20" s="29" customFormat="1" ht="16.5" x14ac:dyDescent="0.25">
      <c r="A131" s="68"/>
      <c r="B131" s="64" t="s">
        <v>140</v>
      </c>
      <c r="C131" s="69">
        <v>222</v>
      </c>
      <c r="D131" s="33">
        <f>SUM('Школы БУ'!D131+'Школы АУ'!D131)</f>
        <v>0</v>
      </c>
      <c r="E131" s="33">
        <f>SUM('Школы БУ'!E131+'Школы АУ'!E131)</f>
        <v>0</v>
      </c>
      <c r="F131" s="33">
        <f>SUM('Школы БУ'!F131+'Школы АУ'!F131)</f>
        <v>0</v>
      </c>
      <c r="G131" s="33">
        <f>SUM('Школы БУ'!G131+'Школы АУ'!G131)</f>
        <v>0</v>
      </c>
      <c r="H131" s="33">
        <f>SUM('Школы БУ'!H131+'Школы АУ'!H131)</f>
        <v>0</v>
      </c>
      <c r="I131" s="33">
        <f>SUM('Школы БУ'!I131+'Школы АУ'!I131)</f>
        <v>0</v>
      </c>
      <c r="J131" s="33">
        <f>SUM('Школы БУ'!J131+'Школы АУ'!J131)</f>
        <v>0</v>
      </c>
      <c r="K131" s="33">
        <f>SUM('Школы БУ'!K131+'Школы АУ'!K131)</f>
        <v>0</v>
      </c>
      <c r="L131" s="33">
        <f>SUM('Школы БУ'!L131+'Школы АУ'!L131)</f>
        <v>0</v>
      </c>
      <c r="M131" s="33">
        <f>SUM('Школы БУ'!M131+'Школы АУ'!M131)</f>
        <v>0</v>
      </c>
      <c r="N131" s="33">
        <f>SUM('Школы БУ'!N131+'Школы АУ'!N131)</f>
        <v>0</v>
      </c>
      <c r="O131" s="33">
        <f>SUM('Школы БУ'!O131+'Школы АУ'!O131)</f>
        <v>0</v>
      </c>
      <c r="P131" s="33">
        <f>SUM('Школы БУ'!P131+'Школы АУ'!P131)</f>
        <v>0</v>
      </c>
      <c r="Q131" s="33">
        <f>SUM('Школы БУ'!Q131+'Школы АУ'!Q131)</f>
        <v>0</v>
      </c>
      <c r="R131" s="33">
        <f>SUM('Школы БУ'!R131+'Школы АУ'!R131)</f>
        <v>0</v>
      </c>
      <c r="S131" s="33">
        <f>SUM('Школы БУ'!S131+'Школы АУ'!S131)</f>
        <v>0</v>
      </c>
      <c r="T131" s="33">
        <f>SUM('Школы БУ'!T131+'Школы АУ'!T131)</f>
        <v>0</v>
      </c>
    </row>
    <row r="132" spans="1:20" s="29" customFormat="1" ht="16.5" x14ac:dyDescent="0.25">
      <c r="A132" s="68"/>
      <c r="B132" s="64" t="s">
        <v>140</v>
      </c>
      <c r="C132" s="69">
        <v>290</v>
      </c>
      <c r="D132" s="33">
        <f>SUM('Школы БУ'!D132+'Школы АУ'!D132)</f>
        <v>0</v>
      </c>
      <c r="E132" s="33">
        <f>SUM('Школы БУ'!E132+'Школы АУ'!E132)</f>
        <v>0</v>
      </c>
      <c r="F132" s="33">
        <f>SUM('Школы БУ'!F132+'Школы АУ'!F132)</f>
        <v>0</v>
      </c>
      <c r="G132" s="33">
        <f>SUM('Школы БУ'!G132+'Школы АУ'!G132)</f>
        <v>0</v>
      </c>
      <c r="H132" s="33">
        <f>SUM('Школы БУ'!H132+'Школы АУ'!H132)</f>
        <v>0</v>
      </c>
      <c r="I132" s="33">
        <f>SUM('Школы БУ'!I132+'Школы АУ'!I132)</f>
        <v>0</v>
      </c>
      <c r="J132" s="33">
        <f>SUM('Школы БУ'!J132+'Школы АУ'!J132)</f>
        <v>0</v>
      </c>
      <c r="K132" s="33">
        <f>SUM('Школы БУ'!K132+'Школы АУ'!K132)</f>
        <v>0</v>
      </c>
      <c r="L132" s="33">
        <f>SUM('Школы БУ'!L132+'Школы АУ'!L132)</f>
        <v>0</v>
      </c>
      <c r="M132" s="33">
        <f>SUM('Школы БУ'!M132+'Школы АУ'!M132)</f>
        <v>0</v>
      </c>
      <c r="N132" s="33">
        <f>SUM('Школы БУ'!N132+'Школы АУ'!N132)</f>
        <v>0</v>
      </c>
      <c r="O132" s="33">
        <f>SUM('Школы БУ'!O132+'Школы АУ'!O132)</f>
        <v>0</v>
      </c>
      <c r="P132" s="33">
        <f>SUM('Школы БУ'!P132+'Школы АУ'!P132)</f>
        <v>0</v>
      </c>
      <c r="Q132" s="33">
        <f>SUM('Школы БУ'!Q132+'Школы АУ'!Q132)</f>
        <v>0</v>
      </c>
      <c r="R132" s="33">
        <f>SUM('Школы БУ'!R132+'Школы АУ'!R132)</f>
        <v>0</v>
      </c>
      <c r="S132" s="33">
        <f>SUM('Школы БУ'!S132+'Школы АУ'!S132)</f>
        <v>0</v>
      </c>
      <c r="T132" s="33">
        <f>SUM('Школы БУ'!T132+'Школы АУ'!T132)</f>
        <v>0</v>
      </c>
    </row>
    <row r="133" spans="1:20" s="29" customFormat="1" ht="16.5" x14ac:dyDescent="0.25">
      <c r="A133" s="68"/>
      <c r="B133" s="64" t="s">
        <v>140</v>
      </c>
      <c r="C133" s="69">
        <v>310</v>
      </c>
      <c r="D133" s="33">
        <f>SUM('Школы БУ'!D133+'Школы АУ'!D133)</f>
        <v>0</v>
      </c>
      <c r="E133" s="33">
        <f>SUM('Школы БУ'!E133+'Школы АУ'!E133)</f>
        <v>0</v>
      </c>
      <c r="F133" s="33">
        <f>SUM('Школы БУ'!F133+'Школы АУ'!F133)</f>
        <v>0</v>
      </c>
      <c r="G133" s="33">
        <f>SUM('Школы БУ'!G133+'Школы АУ'!G133)</f>
        <v>0</v>
      </c>
      <c r="H133" s="33">
        <f>SUM('Школы БУ'!H133+'Школы АУ'!H133)</f>
        <v>0</v>
      </c>
      <c r="I133" s="33">
        <f>SUM('Школы БУ'!I133+'Школы АУ'!I133)</f>
        <v>0</v>
      </c>
      <c r="J133" s="33">
        <f>SUM('Школы БУ'!J133+'Школы АУ'!J133)</f>
        <v>0</v>
      </c>
      <c r="K133" s="33">
        <f>SUM('Школы БУ'!K133+'Школы АУ'!K133)</f>
        <v>0</v>
      </c>
      <c r="L133" s="33">
        <f>SUM('Школы БУ'!L133+'Школы АУ'!L133)</f>
        <v>0</v>
      </c>
      <c r="M133" s="33">
        <f>SUM('Школы БУ'!M133+'Школы АУ'!M133)</f>
        <v>0</v>
      </c>
      <c r="N133" s="33">
        <f>SUM('Школы БУ'!N133+'Школы АУ'!N133)</f>
        <v>0</v>
      </c>
      <c r="O133" s="33">
        <f>SUM('Школы БУ'!O133+'Школы АУ'!O133)</f>
        <v>0</v>
      </c>
      <c r="P133" s="33">
        <f>SUM('Школы БУ'!P133+'Школы АУ'!P133)</f>
        <v>0</v>
      </c>
      <c r="Q133" s="33">
        <f>SUM('Школы БУ'!Q133+'Школы АУ'!Q133)</f>
        <v>0</v>
      </c>
      <c r="R133" s="33">
        <f>SUM('Школы БУ'!R133+'Школы АУ'!R133)</f>
        <v>0</v>
      </c>
      <c r="S133" s="33">
        <f>SUM('Школы БУ'!S133+'Школы АУ'!S133)</f>
        <v>0</v>
      </c>
      <c r="T133" s="33">
        <f>SUM('Школы БУ'!T133+'Школы АУ'!T133)</f>
        <v>0</v>
      </c>
    </row>
    <row r="134" spans="1:20" s="29" customFormat="1" ht="16.5" x14ac:dyDescent="0.25">
      <c r="A134" s="68"/>
      <c r="B134" s="64" t="s">
        <v>140</v>
      </c>
      <c r="C134" s="69">
        <v>340</v>
      </c>
      <c r="D134" s="33">
        <f>SUM('Школы БУ'!D134+'Школы АУ'!D134)</f>
        <v>0</v>
      </c>
      <c r="E134" s="33">
        <f>SUM('Школы БУ'!E134+'Школы АУ'!E134)</f>
        <v>0</v>
      </c>
      <c r="F134" s="33">
        <f>SUM('Школы БУ'!F134+'Школы АУ'!F134)</f>
        <v>0</v>
      </c>
      <c r="G134" s="33">
        <f>SUM('Школы БУ'!G134+'Школы АУ'!G134)</f>
        <v>0</v>
      </c>
      <c r="H134" s="33">
        <f>SUM('Школы БУ'!H134+'Школы АУ'!H134)</f>
        <v>0</v>
      </c>
      <c r="I134" s="33">
        <f>SUM('Школы БУ'!I134+'Школы АУ'!I134)</f>
        <v>0</v>
      </c>
      <c r="J134" s="33">
        <f>SUM('Школы БУ'!J134+'Школы АУ'!J134)</f>
        <v>0</v>
      </c>
      <c r="K134" s="33">
        <f>SUM('Школы БУ'!K134+'Школы АУ'!K134)</f>
        <v>0</v>
      </c>
      <c r="L134" s="33">
        <f>SUM('Школы БУ'!L134+'Школы АУ'!L134)</f>
        <v>0</v>
      </c>
      <c r="M134" s="33">
        <f>SUM('Школы БУ'!M134+'Школы АУ'!M134)</f>
        <v>0</v>
      </c>
      <c r="N134" s="33">
        <f>SUM('Школы БУ'!N134+'Школы АУ'!N134)</f>
        <v>0</v>
      </c>
      <c r="O134" s="33">
        <f>SUM('Школы БУ'!O134+'Школы АУ'!O134)</f>
        <v>0</v>
      </c>
      <c r="P134" s="33">
        <f>SUM('Школы БУ'!P134+'Школы АУ'!P134)</f>
        <v>0</v>
      </c>
      <c r="Q134" s="33">
        <f>SUM('Школы БУ'!Q134+'Школы АУ'!Q134)</f>
        <v>0</v>
      </c>
      <c r="R134" s="33">
        <f>SUM('Школы БУ'!R134+'Школы АУ'!R134)</f>
        <v>0</v>
      </c>
      <c r="S134" s="33">
        <f>SUM('Школы БУ'!S134+'Школы АУ'!S134)</f>
        <v>0</v>
      </c>
      <c r="T134" s="33">
        <f>SUM('Школы БУ'!T134+'Школы АУ'!T134)</f>
        <v>0</v>
      </c>
    </row>
    <row r="135" spans="1:20" s="18" customFormat="1" ht="34.5" x14ac:dyDescent="0.25">
      <c r="A135" s="61" t="s">
        <v>141</v>
      </c>
      <c r="B135" s="62" t="s">
        <v>142</v>
      </c>
      <c r="C135" s="49"/>
      <c r="D135" s="34">
        <f t="shared" ref="D135:T135" si="52">SUM(D136:D164)</f>
        <v>8066000</v>
      </c>
      <c r="E135" s="34">
        <f t="shared" si="52"/>
        <v>978000</v>
      </c>
      <c r="F135" s="34"/>
      <c r="G135" s="34">
        <f t="shared" si="52"/>
        <v>8066000</v>
      </c>
      <c r="H135" s="34">
        <f t="shared" si="52"/>
        <v>978000</v>
      </c>
      <c r="I135" s="34">
        <f t="shared" si="52"/>
        <v>0</v>
      </c>
      <c r="J135" s="34">
        <f t="shared" si="52"/>
        <v>0</v>
      </c>
      <c r="K135" s="34">
        <f t="shared" si="52"/>
        <v>0</v>
      </c>
      <c r="L135" s="34">
        <f t="shared" si="52"/>
        <v>0</v>
      </c>
      <c r="M135" s="34">
        <f t="shared" si="52"/>
        <v>0</v>
      </c>
      <c r="N135" s="34">
        <f t="shared" si="52"/>
        <v>0</v>
      </c>
      <c r="O135" s="34">
        <f t="shared" si="52"/>
        <v>0</v>
      </c>
      <c r="P135" s="34">
        <f t="shared" si="52"/>
        <v>0</v>
      </c>
      <c r="Q135" s="34">
        <f t="shared" si="52"/>
        <v>0</v>
      </c>
      <c r="R135" s="34">
        <f t="shared" si="52"/>
        <v>0</v>
      </c>
      <c r="S135" s="34">
        <f t="shared" si="52"/>
        <v>0</v>
      </c>
      <c r="T135" s="34">
        <f t="shared" si="52"/>
        <v>0</v>
      </c>
    </row>
    <row r="136" spans="1:20" s="29" customFormat="1" ht="16.5" hidden="1" x14ac:dyDescent="0.25">
      <c r="A136" s="63" t="s">
        <v>143</v>
      </c>
      <c r="B136" s="58" t="s">
        <v>144</v>
      </c>
      <c r="C136" s="51">
        <v>226</v>
      </c>
      <c r="D136" s="33">
        <f t="shared" si="44"/>
        <v>0</v>
      </c>
      <c r="E136" s="33">
        <f t="shared" si="45"/>
        <v>0</v>
      </c>
      <c r="F136" s="33"/>
      <c r="G136" s="33">
        <f>SUM('Школы БУ'!G136+'Школы АУ'!G136)</f>
        <v>0</v>
      </c>
      <c r="H136" s="33"/>
      <c r="I136" s="33">
        <f>SUM('Школы БУ'!I136+'Школы АУ'!I136)</f>
        <v>0</v>
      </c>
      <c r="J136" s="33"/>
      <c r="K136" s="33">
        <f>SUM('Школы БУ'!K136+'Школы АУ'!K136)</f>
        <v>0</v>
      </c>
      <c r="L136" s="33"/>
      <c r="M136" s="33">
        <f>SUM('Школы БУ'!M136+'Школы АУ'!M136)</f>
        <v>0</v>
      </c>
      <c r="N136" s="33"/>
      <c r="O136" s="33">
        <f>SUM('Школы БУ'!O136+'Школы АУ'!O136)</f>
        <v>0</v>
      </c>
      <c r="P136" s="33"/>
      <c r="Q136" s="33">
        <f>SUM('Школы БУ'!Q136+'Школы АУ'!Q136)</f>
        <v>0</v>
      </c>
      <c r="R136" s="33"/>
      <c r="S136" s="33">
        <f>SUM('Школы БУ'!S136+'Школы АУ'!S136)</f>
        <v>0</v>
      </c>
      <c r="T136" s="33">
        <f>SUM('Школы БУ'!T136+'Школы АУ'!T136)</f>
        <v>0</v>
      </c>
    </row>
    <row r="137" spans="1:20" s="6" customFormat="1" ht="16.5" hidden="1" x14ac:dyDescent="0.25">
      <c r="A137" s="63" t="s">
        <v>143</v>
      </c>
      <c r="B137" s="58" t="s">
        <v>144</v>
      </c>
      <c r="C137" s="51">
        <v>310</v>
      </c>
      <c r="D137" s="33">
        <f t="shared" si="44"/>
        <v>0</v>
      </c>
      <c r="E137" s="33">
        <f t="shared" si="45"/>
        <v>0</v>
      </c>
      <c r="F137" s="33"/>
      <c r="G137" s="33">
        <f>SUM('Школы БУ'!G137+'Школы АУ'!G137)</f>
        <v>0</v>
      </c>
      <c r="H137" s="33"/>
      <c r="I137" s="33">
        <f>SUM('Школы БУ'!I137+'Школы АУ'!I137)</f>
        <v>0</v>
      </c>
      <c r="J137" s="33"/>
      <c r="K137" s="33">
        <f>SUM('Школы БУ'!K137+'Школы АУ'!K137)</f>
        <v>0</v>
      </c>
      <c r="L137" s="33"/>
      <c r="M137" s="33">
        <f>SUM('Школы БУ'!M137+'Школы АУ'!M137)</f>
        <v>0</v>
      </c>
      <c r="N137" s="33"/>
      <c r="O137" s="33">
        <f>SUM('Школы БУ'!O137+'Школы АУ'!O137)</f>
        <v>0</v>
      </c>
      <c r="P137" s="33"/>
      <c r="Q137" s="33">
        <f>SUM('Школы БУ'!Q137+'Школы АУ'!Q137)</f>
        <v>0</v>
      </c>
      <c r="R137" s="33"/>
      <c r="S137" s="33">
        <f>SUM('Школы БУ'!S137+'Школы АУ'!S137)</f>
        <v>0</v>
      </c>
      <c r="T137" s="33">
        <f>SUM('Школы БУ'!T137+'Школы АУ'!T137)</f>
        <v>0</v>
      </c>
    </row>
    <row r="138" spans="1:20" s="6" customFormat="1" ht="33" hidden="1" x14ac:dyDescent="0.25">
      <c r="A138" s="63" t="s">
        <v>145</v>
      </c>
      <c r="B138" s="58" t="s">
        <v>146</v>
      </c>
      <c r="C138" s="51">
        <v>226</v>
      </c>
      <c r="D138" s="33">
        <f t="shared" si="44"/>
        <v>0</v>
      </c>
      <c r="E138" s="33">
        <f t="shared" si="45"/>
        <v>0</v>
      </c>
      <c r="F138" s="33"/>
      <c r="G138" s="33">
        <f>SUM('Школы БУ'!G138+'Школы АУ'!G138)</f>
        <v>0</v>
      </c>
      <c r="H138" s="33"/>
      <c r="I138" s="33">
        <f>SUM('Школы БУ'!I138+'Школы АУ'!I138)</f>
        <v>0</v>
      </c>
      <c r="J138" s="33"/>
      <c r="K138" s="33">
        <f>SUM('Школы БУ'!K138+'Школы АУ'!K138)</f>
        <v>0</v>
      </c>
      <c r="L138" s="33"/>
      <c r="M138" s="33">
        <f>SUM('Школы БУ'!M138+'Школы АУ'!M138)</f>
        <v>0</v>
      </c>
      <c r="N138" s="33"/>
      <c r="O138" s="33">
        <f>SUM('Школы БУ'!O138+'Школы АУ'!O138)</f>
        <v>0</v>
      </c>
      <c r="P138" s="33"/>
      <c r="Q138" s="33">
        <f>SUM('Школы БУ'!Q138+'Школы АУ'!Q138)</f>
        <v>0</v>
      </c>
      <c r="R138" s="33"/>
      <c r="S138" s="33">
        <f>SUM('Школы БУ'!S138+'Школы АУ'!S138)</f>
        <v>0</v>
      </c>
      <c r="T138" s="33">
        <f>SUM('Школы БУ'!T138+'Школы АУ'!T138)</f>
        <v>0</v>
      </c>
    </row>
    <row r="139" spans="1:20" s="6" customFormat="1" ht="33" x14ac:dyDescent="0.25">
      <c r="A139" s="63" t="s">
        <v>145</v>
      </c>
      <c r="B139" s="58" t="s">
        <v>146</v>
      </c>
      <c r="C139" s="51">
        <v>310</v>
      </c>
      <c r="D139" s="33">
        <f t="shared" si="44"/>
        <v>5000000</v>
      </c>
      <c r="E139" s="33">
        <f t="shared" si="45"/>
        <v>0</v>
      </c>
      <c r="F139" s="33"/>
      <c r="G139" s="33">
        <f>SUM('Школы БУ'!G139+'Школы АУ'!G139)</f>
        <v>5000000</v>
      </c>
      <c r="H139" s="33">
        <f>SUM('Школы БУ'!H139+'Школы АУ'!H139)</f>
        <v>0</v>
      </c>
      <c r="I139" s="33">
        <f>SUM('Школы БУ'!I139+'Школы АУ'!I139)</f>
        <v>0</v>
      </c>
      <c r="J139" s="33">
        <f>SUM('Школы БУ'!J139+'Школы АУ'!J139)</f>
        <v>0</v>
      </c>
      <c r="K139" s="33">
        <f>SUM('Школы БУ'!K139+'Школы АУ'!K139)</f>
        <v>0</v>
      </c>
      <c r="L139" s="33">
        <f>SUM('Школы БУ'!L139+'Школы АУ'!L139)</f>
        <v>0</v>
      </c>
      <c r="M139" s="33">
        <f>SUM('Школы БУ'!M139+'Школы АУ'!M139)</f>
        <v>0</v>
      </c>
      <c r="N139" s="33">
        <f>SUM('Школы БУ'!N139+'Школы АУ'!N139)</f>
        <v>0</v>
      </c>
      <c r="O139" s="33">
        <f>SUM('Школы БУ'!O139+'Школы АУ'!O139)</f>
        <v>0</v>
      </c>
      <c r="P139" s="33">
        <f>SUM('Школы БУ'!P139+'Школы АУ'!P139)</f>
        <v>0</v>
      </c>
      <c r="Q139" s="33">
        <f>SUM('Школы БУ'!Q139+'Школы АУ'!Q139)</f>
        <v>0</v>
      </c>
      <c r="R139" s="33">
        <f>SUM('Школы БУ'!R139+'Школы АУ'!R139)</f>
        <v>0</v>
      </c>
      <c r="S139" s="33">
        <f>SUM('Школы БУ'!S139+'Школы АУ'!S139)</f>
        <v>0</v>
      </c>
      <c r="T139" s="33">
        <f>SUM('Школы БУ'!T139+'Школы АУ'!T139)</f>
        <v>0</v>
      </c>
    </row>
    <row r="140" spans="1:20" s="6" customFormat="1" ht="16.5" hidden="1" x14ac:dyDescent="0.25">
      <c r="A140" s="63" t="s">
        <v>147</v>
      </c>
      <c r="B140" s="58" t="s">
        <v>148</v>
      </c>
      <c r="C140" s="51">
        <v>310</v>
      </c>
      <c r="D140" s="33">
        <f t="shared" si="44"/>
        <v>0</v>
      </c>
      <c r="E140" s="33">
        <f t="shared" si="45"/>
        <v>0</v>
      </c>
      <c r="F140" s="33"/>
      <c r="G140" s="33">
        <f>SUM('Школы БУ'!G140+'Школы АУ'!G140)</f>
        <v>0</v>
      </c>
      <c r="H140" s="33">
        <f>SUM('Школы БУ'!H140+'Школы АУ'!H140)</f>
        <v>0</v>
      </c>
      <c r="I140" s="33">
        <f>SUM('Школы БУ'!I140+'Школы АУ'!I140)</f>
        <v>0</v>
      </c>
      <c r="J140" s="33">
        <f>SUM('Школы БУ'!J140+'Школы АУ'!J140)</f>
        <v>0</v>
      </c>
      <c r="K140" s="33">
        <f>SUM('Школы БУ'!K140+'Школы АУ'!K140)</f>
        <v>0</v>
      </c>
      <c r="L140" s="33">
        <f>SUM('Школы БУ'!L140+'Школы АУ'!L140)</f>
        <v>0</v>
      </c>
      <c r="M140" s="33">
        <f>SUM('Школы БУ'!M140+'Школы АУ'!M140)</f>
        <v>0</v>
      </c>
      <c r="N140" s="33">
        <f>SUM('Школы БУ'!N140+'Школы АУ'!N140)</f>
        <v>0</v>
      </c>
      <c r="O140" s="33">
        <f>SUM('Школы БУ'!O140+'Школы АУ'!O140)</f>
        <v>0</v>
      </c>
      <c r="P140" s="33">
        <f>SUM('Школы БУ'!P140+'Школы АУ'!P140)</f>
        <v>0</v>
      </c>
      <c r="Q140" s="33">
        <f>SUM('Школы БУ'!Q140+'Школы АУ'!Q140)</f>
        <v>0</v>
      </c>
      <c r="R140" s="33">
        <f>SUM('Школы БУ'!R140+'Школы АУ'!R140)</f>
        <v>0</v>
      </c>
      <c r="S140" s="33">
        <f>SUM('Школы БУ'!S140+'Школы АУ'!S140)</f>
        <v>0</v>
      </c>
      <c r="T140" s="33">
        <f>SUM('Школы БУ'!T140+'Школы АУ'!T140)</f>
        <v>0</v>
      </c>
    </row>
    <row r="141" spans="1:20" s="6" customFormat="1" ht="33" x14ac:dyDescent="0.25">
      <c r="A141" s="63" t="s">
        <v>149</v>
      </c>
      <c r="B141" s="58" t="s">
        <v>150</v>
      </c>
      <c r="C141" s="51">
        <v>310</v>
      </c>
      <c r="D141" s="33">
        <f t="shared" si="44"/>
        <v>300000</v>
      </c>
      <c r="E141" s="33">
        <f t="shared" si="45"/>
        <v>0</v>
      </c>
      <c r="F141" s="33"/>
      <c r="G141" s="33">
        <f>SUM('Школы БУ'!G141+'Школы АУ'!G141)</f>
        <v>300000</v>
      </c>
      <c r="H141" s="33">
        <f>SUM('Школы БУ'!H141+'Школы АУ'!H141)</f>
        <v>0</v>
      </c>
      <c r="I141" s="33">
        <f>SUM('Школы БУ'!I141+'Школы АУ'!I141)</f>
        <v>0</v>
      </c>
      <c r="J141" s="33">
        <f>SUM('Школы БУ'!J141+'Школы АУ'!J141)</f>
        <v>0</v>
      </c>
      <c r="K141" s="33">
        <f>SUM('Школы БУ'!K141+'Школы АУ'!K141)</f>
        <v>0</v>
      </c>
      <c r="L141" s="33">
        <f>SUM('Школы БУ'!L141+'Школы АУ'!L141)</f>
        <v>0</v>
      </c>
      <c r="M141" s="33">
        <f>SUM('Школы БУ'!M141+'Школы АУ'!M141)</f>
        <v>0</v>
      </c>
      <c r="N141" s="33">
        <f>SUM('Школы БУ'!N141+'Школы АУ'!N141)</f>
        <v>0</v>
      </c>
      <c r="O141" s="33">
        <f>SUM('Школы БУ'!O141+'Школы АУ'!O141)</f>
        <v>0</v>
      </c>
      <c r="P141" s="33">
        <f>SUM('Школы БУ'!P141+'Школы АУ'!P141)</f>
        <v>0</v>
      </c>
      <c r="Q141" s="33">
        <f>SUM('Школы БУ'!Q141+'Школы АУ'!Q141)</f>
        <v>0</v>
      </c>
      <c r="R141" s="33">
        <f>SUM('Школы БУ'!R141+'Школы АУ'!R141)</f>
        <v>0</v>
      </c>
      <c r="S141" s="33">
        <f>SUM('Школы БУ'!S141+'Школы АУ'!S141)</f>
        <v>0</v>
      </c>
      <c r="T141" s="33">
        <f>SUM('Школы БУ'!T141+'Школы АУ'!T141)</f>
        <v>0</v>
      </c>
    </row>
    <row r="142" spans="1:20" s="6" customFormat="1" ht="33" hidden="1" x14ac:dyDescent="0.25">
      <c r="A142" s="63" t="s">
        <v>151</v>
      </c>
      <c r="B142" s="58" t="s">
        <v>152</v>
      </c>
      <c r="C142" s="51">
        <v>310</v>
      </c>
      <c r="D142" s="33">
        <f t="shared" si="44"/>
        <v>0</v>
      </c>
      <c r="E142" s="33">
        <f t="shared" si="45"/>
        <v>0</v>
      </c>
      <c r="F142" s="33"/>
      <c r="G142" s="33">
        <f>SUM('Школы БУ'!G142+'Школы АУ'!G142)</f>
        <v>0</v>
      </c>
      <c r="H142" s="33">
        <f>SUM('Школы БУ'!H142+'Школы АУ'!H142)</f>
        <v>0</v>
      </c>
      <c r="I142" s="33">
        <f>SUM('Школы БУ'!I142+'Школы АУ'!I142)</f>
        <v>0</v>
      </c>
      <c r="J142" s="33">
        <f>SUM('Школы БУ'!J142+'Школы АУ'!J142)</f>
        <v>0</v>
      </c>
      <c r="K142" s="33">
        <f>SUM('Школы БУ'!K142+'Школы АУ'!K142)</f>
        <v>0</v>
      </c>
      <c r="L142" s="33">
        <f>SUM('Школы БУ'!L142+'Школы АУ'!L142)</f>
        <v>0</v>
      </c>
      <c r="M142" s="33">
        <f>SUM('Школы БУ'!M142+'Школы АУ'!M142)</f>
        <v>0</v>
      </c>
      <c r="N142" s="33">
        <f>SUM('Школы БУ'!N142+'Школы АУ'!N142)</f>
        <v>0</v>
      </c>
      <c r="O142" s="33">
        <f>SUM('Школы БУ'!O142+'Школы АУ'!O142)</f>
        <v>0</v>
      </c>
      <c r="P142" s="33">
        <f>SUM('Школы БУ'!P142+'Школы АУ'!P142)</f>
        <v>0</v>
      </c>
      <c r="Q142" s="33">
        <f>SUM('Школы БУ'!Q142+'Школы АУ'!Q142)</f>
        <v>0</v>
      </c>
      <c r="R142" s="33">
        <f>SUM('Школы БУ'!R142+'Школы АУ'!R142)</f>
        <v>0</v>
      </c>
      <c r="S142" s="33">
        <f>SUM('Школы БУ'!S142+'Школы АУ'!S142)</f>
        <v>0</v>
      </c>
      <c r="T142" s="33">
        <f>SUM('Школы БУ'!T142+'Школы АУ'!T142)</f>
        <v>0</v>
      </c>
    </row>
    <row r="143" spans="1:20" s="6" customFormat="1" ht="49.5" hidden="1" x14ac:dyDescent="0.25">
      <c r="A143" s="63" t="s">
        <v>153</v>
      </c>
      <c r="B143" s="28" t="s">
        <v>154</v>
      </c>
      <c r="C143" s="51">
        <v>226</v>
      </c>
      <c r="D143" s="33">
        <f t="shared" si="44"/>
        <v>0</v>
      </c>
      <c r="E143" s="33">
        <f t="shared" si="45"/>
        <v>0</v>
      </c>
      <c r="F143" s="33"/>
      <c r="G143" s="33">
        <f>SUM('Школы БУ'!G143+'Школы АУ'!G143)</f>
        <v>0</v>
      </c>
      <c r="H143" s="33">
        <f>SUM('Школы БУ'!H143+'Школы АУ'!H143)</f>
        <v>0</v>
      </c>
      <c r="I143" s="33">
        <f>SUM('Школы БУ'!I143+'Школы АУ'!I143)</f>
        <v>0</v>
      </c>
      <c r="J143" s="33">
        <f>SUM('Школы БУ'!J143+'Школы АУ'!J143)</f>
        <v>0</v>
      </c>
      <c r="K143" s="33">
        <f>SUM('Школы БУ'!K143+'Школы АУ'!K143)</f>
        <v>0</v>
      </c>
      <c r="L143" s="33">
        <f>SUM('Школы БУ'!L143+'Школы АУ'!L143)</f>
        <v>0</v>
      </c>
      <c r="M143" s="33">
        <f>SUM('Школы БУ'!M143+'Школы АУ'!M143)</f>
        <v>0</v>
      </c>
      <c r="N143" s="33">
        <f>SUM('Школы БУ'!N143+'Школы АУ'!N143)</f>
        <v>0</v>
      </c>
      <c r="O143" s="33">
        <f>SUM('Школы БУ'!O143+'Школы АУ'!O143)</f>
        <v>0</v>
      </c>
      <c r="P143" s="33">
        <f>SUM('Школы БУ'!P143+'Школы АУ'!P143)</f>
        <v>0</v>
      </c>
      <c r="Q143" s="33">
        <f>SUM('Школы БУ'!Q143+'Школы АУ'!Q143)</f>
        <v>0</v>
      </c>
      <c r="R143" s="33">
        <f>SUM('Школы БУ'!R143+'Школы АУ'!R143)</f>
        <v>0</v>
      </c>
      <c r="S143" s="33">
        <f>SUM('Школы БУ'!S143+'Школы АУ'!S143)</f>
        <v>0</v>
      </c>
      <c r="T143" s="33">
        <f>SUM('Школы БУ'!T143+'Школы АУ'!T143)</f>
        <v>0</v>
      </c>
    </row>
    <row r="144" spans="1:20" s="6" customFormat="1" ht="16.5" hidden="1" x14ac:dyDescent="0.25">
      <c r="A144" s="63" t="s">
        <v>155</v>
      </c>
      <c r="B144" s="28" t="s">
        <v>156</v>
      </c>
      <c r="C144" s="51">
        <v>226</v>
      </c>
      <c r="D144" s="33">
        <f t="shared" si="44"/>
        <v>0</v>
      </c>
      <c r="E144" s="33">
        <f t="shared" si="45"/>
        <v>0</v>
      </c>
      <c r="F144" s="33"/>
      <c r="G144" s="33">
        <f>SUM('Школы БУ'!G144+'Школы АУ'!G144)</f>
        <v>0</v>
      </c>
      <c r="H144" s="33">
        <f>SUM('Школы БУ'!H144+'Школы АУ'!H144)</f>
        <v>0</v>
      </c>
      <c r="I144" s="33">
        <f>SUM('Школы БУ'!I144+'Школы АУ'!I144)</f>
        <v>0</v>
      </c>
      <c r="J144" s="33">
        <f>SUM('Школы БУ'!J144+'Школы АУ'!J144)</f>
        <v>0</v>
      </c>
      <c r="K144" s="33">
        <f>SUM('Школы БУ'!K144+'Школы АУ'!K144)</f>
        <v>0</v>
      </c>
      <c r="L144" s="33">
        <f>SUM('Школы БУ'!L144+'Школы АУ'!L144)</f>
        <v>0</v>
      </c>
      <c r="M144" s="33">
        <f>SUM('Школы БУ'!M144+'Школы АУ'!M144)</f>
        <v>0</v>
      </c>
      <c r="N144" s="33">
        <f>SUM('Школы БУ'!N144+'Школы АУ'!N144)</f>
        <v>0</v>
      </c>
      <c r="O144" s="33">
        <f>SUM('Школы БУ'!O144+'Школы АУ'!O144)</f>
        <v>0</v>
      </c>
      <c r="P144" s="33">
        <f>SUM('Школы БУ'!P144+'Школы АУ'!P144)</f>
        <v>0</v>
      </c>
      <c r="Q144" s="33">
        <f>SUM('Школы БУ'!Q144+'Школы АУ'!Q144)</f>
        <v>0</v>
      </c>
      <c r="R144" s="33">
        <f>SUM('Школы БУ'!R144+'Школы АУ'!R144)</f>
        <v>0</v>
      </c>
      <c r="S144" s="33">
        <f>SUM('Школы БУ'!S144+'Школы АУ'!S144)</f>
        <v>0</v>
      </c>
      <c r="T144" s="33">
        <f>SUM('Школы БУ'!T144+'Школы АУ'!T144)</f>
        <v>0</v>
      </c>
    </row>
    <row r="145" spans="1:20" s="6" customFormat="1" ht="16.5" hidden="1" x14ac:dyDescent="0.25">
      <c r="A145" s="63" t="s">
        <v>155</v>
      </c>
      <c r="B145" s="28" t="s">
        <v>157</v>
      </c>
      <c r="C145" s="51">
        <v>310</v>
      </c>
      <c r="D145" s="33">
        <f t="shared" si="44"/>
        <v>0</v>
      </c>
      <c r="E145" s="33">
        <f t="shared" si="45"/>
        <v>0</v>
      </c>
      <c r="F145" s="33"/>
      <c r="G145" s="33">
        <f>SUM('Школы БУ'!G145+'Школы АУ'!G145)</f>
        <v>0</v>
      </c>
      <c r="H145" s="33">
        <f>SUM('Школы БУ'!H145+'Школы АУ'!H145)</f>
        <v>0</v>
      </c>
      <c r="I145" s="33">
        <f>SUM('Школы БУ'!I145+'Школы АУ'!I145)</f>
        <v>0</v>
      </c>
      <c r="J145" s="33">
        <f>SUM('Школы БУ'!J145+'Школы АУ'!J145)</f>
        <v>0</v>
      </c>
      <c r="K145" s="33">
        <f>SUM('Школы БУ'!K145+'Школы АУ'!K145)</f>
        <v>0</v>
      </c>
      <c r="L145" s="33">
        <f>SUM('Школы БУ'!L145+'Школы АУ'!L145)</f>
        <v>0</v>
      </c>
      <c r="M145" s="33">
        <f>SUM('Школы БУ'!M145+'Школы АУ'!M145)</f>
        <v>0</v>
      </c>
      <c r="N145" s="33">
        <f>SUM('Школы БУ'!N145+'Школы АУ'!N145)</f>
        <v>0</v>
      </c>
      <c r="O145" s="33">
        <f>SUM('Школы БУ'!O145+'Школы АУ'!O145)</f>
        <v>0</v>
      </c>
      <c r="P145" s="33">
        <f>SUM('Школы БУ'!P145+'Школы АУ'!P145)</f>
        <v>0</v>
      </c>
      <c r="Q145" s="33">
        <f>SUM('Школы БУ'!Q145+'Школы АУ'!Q145)</f>
        <v>0</v>
      </c>
      <c r="R145" s="33">
        <f>SUM('Школы БУ'!R145+'Школы АУ'!R145)</f>
        <v>0</v>
      </c>
      <c r="S145" s="33">
        <f>SUM('Школы БУ'!S145+'Школы АУ'!S145)</f>
        <v>0</v>
      </c>
      <c r="T145" s="33">
        <f>SUM('Школы БУ'!T145+'Школы АУ'!T145)</f>
        <v>0</v>
      </c>
    </row>
    <row r="146" spans="1:20" s="6" customFormat="1" ht="16.5" hidden="1" x14ac:dyDescent="0.25">
      <c r="A146" s="63" t="s">
        <v>155</v>
      </c>
      <c r="B146" s="28" t="s">
        <v>157</v>
      </c>
      <c r="C146" s="51">
        <v>340</v>
      </c>
      <c r="D146" s="33">
        <f t="shared" si="44"/>
        <v>0</v>
      </c>
      <c r="E146" s="33">
        <f t="shared" si="45"/>
        <v>0</v>
      </c>
      <c r="F146" s="33"/>
      <c r="G146" s="33">
        <f>SUM('Школы БУ'!G146+'Школы АУ'!G146)</f>
        <v>0</v>
      </c>
      <c r="H146" s="33">
        <f>SUM('Школы БУ'!H146+'Школы АУ'!H146)</f>
        <v>0</v>
      </c>
      <c r="I146" s="33">
        <f>SUM('Школы БУ'!I146+'Школы АУ'!I146)</f>
        <v>0</v>
      </c>
      <c r="J146" s="33">
        <f>SUM('Школы БУ'!J146+'Школы АУ'!J146)</f>
        <v>0</v>
      </c>
      <c r="K146" s="33">
        <f>SUM('Школы БУ'!K146+'Школы АУ'!K146)</f>
        <v>0</v>
      </c>
      <c r="L146" s="33">
        <f>SUM('Школы БУ'!L146+'Школы АУ'!L146)</f>
        <v>0</v>
      </c>
      <c r="M146" s="33">
        <f>SUM('Школы БУ'!M146+'Школы АУ'!M146)</f>
        <v>0</v>
      </c>
      <c r="N146" s="33">
        <f>SUM('Школы БУ'!N146+'Школы АУ'!N146)</f>
        <v>0</v>
      </c>
      <c r="O146" s="33">
        <f>SUM('Школы БУ'!O146+'Школы АУ'!O146)</f>
        <v>0</v>
      </c>
      <c r="P146" s="33">
        <f>SUM('Школы БУ'!P146+'Школы АУ'!P146)</f>
        <v>0</v>
      </c>
      <c r="Q146" s="33">
        <f>SUM('Школы БУ'!Q146+'Школы АУ'!Q146)</f>
        <v>0</v>
      </c>
      <c r="R146" s="33">
        <f>SUM('Школы БУ'!R146+'Школы АУ'!R146)</f>
        <v>0</v>
      </c>
      <c r="S146" s="33">
        <f>SUM('Школы БУ'!S146+'Школы АУ'!S146)</f>
        <v>0</v>
      </c>
      <c r="T146" s="33">
        <f>SUM('Школы БУ'!T146+'Школы АУ'!T146)</f>
        <v>0</v>
      </c>
    </row>
    <row r="147" spans="1:20" s="6" customFormat="1" ht="16.5" hidden="1" x14ac:dyDescent="0.25">
      <c r="A147" s="63" t="s">
        <v>158</v>
      </c>
      <c r="B147" s="28" t="s">
        <v>159</v>
      </c>
      <c r="C147" s="51">
        <v>226</v>
      </c>
      <c r="D147" s="33">
        <f t="shared" si="44"/>
        <v>0</v>
      </c>
      <c r="E147" s="33">
        <f t="shared" si="45"/>
        <v>0</v>
      </c>
      <c r="F147" s="33"/>
      <c r="G147" s="33">
        <f>SUM('Школы БУ'!G147+'Школы АУ'!G147)</f>
        <v>0</v>
      </c>
      <c r="H147" s="33">
        <f>SUM('Школы БУ'!H147+'Школы АУ'!H147)</f>
        <v>0</v>
      </c>
      <c r="I147" s="33">
        <f>SUM('Школы БУ'!I147+'Школы АУ'!I147)</f>
        <v>0</v>
      </c>
      <c r="J147" s="33">
        <f>SUM('Школы БУ'!J147+'Школы АУ'!J147)</f>
        <v>0</v>
      </c>
      <c r="K147" s="33">
        <f>SUM('Школы БУ'!K147+'Школы АУ'!K147)</f>
        <v>0</v>
      </c>
      <c r="L147" s="33">
        <f>SUM('Школы БУ'!L147+'Школы АУ'!L147)</f>
        <v>0</v>
      </c>
      <c r="M147" s="33">
        <f>SUM('Школы БУ'!M147+'Школы АУ'!M147)</f>
        <v>0</v>
      </c>
      <c r="N147" s="33">
        <f>SUM('Школы БУ'!N147+'Школы АУ'!N147)</f>
        <v>0</v>
      </c>
      <c r="O147" s="33">
        <f>SUM('Школы БУ'!O147+'Школы АУ'!O147)</f>
        <v>0</v>
      </c>
      <c r="P147" s="33">
        <f>SUM('Школы БУ'!P147+'Школы АУ'!P147)</f>
        <v>0</v>
      </c>
      <c r="Q147" s="33">
        <f>SUM('Школы БУ'!Q147+'Школы АУ'!Q147)</f>
        <v>0</v>
      </c>
      <c r="R147" s="33">
        <f>SUM('Школы БУ'!R147+'Школы АУ'!R147)</f>
        <v>0</v>
      </c>
      <c r="S147" s="33">
        <f>SUM('Школы БУ'!S147+'Школы АУ'!S147)</f>
        <v>0</v>
      </c>
      <c r="T147" s="33">
        <f>SUM('Школы БУ'!T147+'Школы АУ'!T147)</f>
        <v>0</v>
      </c>
    </row>
    <row r="148" spans="1:20" s="6" customFormat="1" ht="49.5" x14ac:dyDescent="0.25">
      <c r="A148" s="63" t="s">
        <v>160</v>
      </c>
      <c r="B148" s="28" t="s">
        <v>284</v>
      </c>
      <c r="C148" s="51">
        <v>226</v>
      </c>
      <c r="D148" s="33">
        <f t="shared" si="44"/>
        <v>88000</v>
      </c>
      <c r="E148" s="33">
        <f t="shared" si="45"/>
        <v>12000</v>
      </c>
      <c r="F148" s="33"/>
      <c r="G148" s="33">
        <f>SUM('Школы БУ'!G148+'Школы АУ'!G148)</f>
        <v>88000</v>
      </c>
      <c r="H148" s="33">
        <f>SUM('Школы БУ'!H148+'Школы АУ'!H148)</f>
        <v>12000</v>
      </c>
      <c r="I148" s="33">
        <f>SUM('Школы БУ'!I148+'Школы АУ'!I148)</f>
        <v>0</v>
      </c>
      <c r="J148" s="33">
        <f>SUM('Школы БУ'!J148+'Школы АУ'!J148)</f>
        <v>0</v>
      </c>
      <c r="K148" s="33">
        <f>SUM('Школы БУ'!K148+'Школы АУ'!K148)</f>
        <v>0</v>
      </c>
      <c r="L148" s="33">
        <f>SUM('Школы БУ'!L148+'Школы АУ'!L148)</f>
        <v>0</v>
      </c>
      <c r="M148" s="33">
        <f>SUM('Школы БУ'!M148+'Школы АУ'!M148)</f>
        <v>0</v>
      </c>
      <c r="N148" s="33">
        <f>SUM('Школы БУ'!N148+'Школы АУ'!N148)</f>
        <v>0</v>
      </c>
      <c r="O148" s="33">
        <f>SUM('Школы БУ'!O148+'Школы АУ'!O148)</f>
        <v>0</v>
      </c>
      <c r="P148" s="33">
        <f>SUM('Школы БУ'!P148+'Школы АУ'!P148)</f>
        <v>0</v>
      </c>
      <c r="Q148" s="33">
        <f>SUM('Школы БУ'!Q148+'Школы АУ'!Q148)</f>
        <v>0</v>
      </c>
      <c r="R148" s="33">
        <f>SUM('Школы БУ'!R148+'Школы АУ'!R148)</f>
        <v>0</v>
      </c>
      <c r="S148" s="33">
        <f>SUM('Школы БУ'!S148+'Школы АУ'!S148)</f>
        <v>0</v>
      </c>
      <c r="T148" s="33">
        <f>SUM('Школы БУ'!T148+'Школы АУ'!T148)</f>
        <v>0</v>
      </c>
    </row>
    <row r="149" spans="1:20" s="6" customFormat="1" ht="33" hidden="1" x14ac:dyDescent="0.25">
      <c r="A149" s="63" t="s">
        <v>162</v>
      </c>
      <c r="B149" s="28" t="s">
        <v>163</v>
      </c>
      <c r="C149" s="51">
        <v>226</v>
      </c>
      <c r="D149" s="33">
        <f t="shared" si="44"/>
        <v>0</v>
      </c>
      <c r="E149" s="33">
        <f t="shared" si="45"/>
        <v>0</v>
      </c>
      <c r="F149" s="33"/>
      <c r="G149" s="33">
        <f>SUM('Школы БУ'!G149+'Школы АУ'!G149)</f>
        <v>0</v>
      </c>
      <c r="H149" s="33">
        <f>SUM('Школы БУ'!H149+'Школы АУ'!H149)</f>
        <v>0</v>
      </c>
      <c r="I149" s="33">
        <f>SUM('Школы БУ'!I149+'Школы АУ'!I149)</f>
        <v>0</v>
      </c>
      <c r="J149" s="33">
        <f>SUM('Школы БУ'!J149+'Школы АУ'!J149)</f>
        <v>0</v>
      </c>
      <c r="K149" s="33">
        <f>SUM('Школы БУ'!K149+'Школы АУ'!K149)</f>
        <v>0</v>
      </c>
      <c r="L149" s="33">
        <f>SUM('Школы БУ'!L149+'Школы АУ'!L149)</f>
        <v>0</v>
      </c>
      <c r="M149" s="33">
        <f>SUM('Школы БУ'!M149+'Школы АУ'!M149)</f>
        <v>0</v>
      </c>
      <c r="N149" s="33">
        <f>SUM('Школы БУ'!N149+'Школы АУ'!N149)</f>
        <v>0</v>
      </c>
      <c r="O149" s="33">
        <f>SUM('Школы БУ'!O149+'Школы АУ'!O149)</f>
        <v>0</v>
      </c>
      <c r="P149" s="33">
        <f>SUM('Школы БУ'!P149+'Школы АУ'!P149)</f>
        <v>0</v>
      </c>
      <c r="Q149" s="33">
        <f>SUM('Школы БУ'!Q149+'Школы АУ'!Q149)</f>
        <v>0</v>
      </c>
      <c r="R149" s="33">
        <f>SUM('Школы БУ'!R149+'Школы АУ'!R149)</f>
        <v>0</v>
      </c>
      <c r="S149" s="33">
        <f>SUM('Школы БУ'!S149+'Школы АУ'!S149)</f>
        <v>0</v>
      </c>
      <c r="T149" s="33">
        <f>SUM('Школы БУ'!T149+'Школы АУ'!T149)</f>
        <v>0</v>
      </c>
    </row>
    <row r="150" spans="1:20" s="6" customFormat="1" ht="16.5" hidden="1" x14ac:dyDescent="0.25">
      <c r="A150" s="63" t="s">
        <v>164</v>
      </c>
      <c r="B150" s="28" t="s">
        <v>165</v>
      </c>
      <c r="C150" s="51">
        <v>310</v>
      </c>
      <c r="D150" s="33">
        <f t="shared" si="44"/>
        <v>0</v>
      </c>
      <c r="E150" s="33">
        <f t="shared" si="45"/>
        <v>0</v>
      </c>
      <c r="F150" s="33"/>
      <c r="G150" s="33">
        <f>SUM('Школы БУ'!G150+'Школы АУ'!G150)</f>
        <v>0</v>
      </c>
      <c r="H150" s="33">
        <f>SUM('Школы БУ'!H150+'Школы АУ'!H150)</f>
        <v>0</v>
      </c>
      <c r="I150" s="33">
        <f>SUM('Школы БУ'!I150+'Школы АУ'!I150)</f>
        <v>0</v>
      </c>
      <c r="J150" s="33">
        <f>SUM('Школы БУ'!J150+'Школы АУ'!J150)</f>
        <v>0</v>
      </c>
      <c r="K150" s="33">
        <f>SUM('Школы БУ'!K150+'Школы АУ'!K150)</f>
        <v>0</v>
      </c>
      <c r="L150" s="33">
        <f>SUM('Школы БУ'!L150+'Школы АУ'!L150)</f>
        <v>0</v>
      </c>
      <c r="M150" s="33">
        <f>SUM('Школы БУ'!M150+'Школы АУ'!M150)</f>
        <v>0</v>
      </c>
      <c r="N150" s="33">
        <f>SUM('Школы БУ'!N150+'Школы АУ'!N150)</f>
        <v>0</v>
      </c>
      <c r="O150" s="33">
        <f>SUM('Школы БУ'!O150+'Школы АУ'!O150)</f>
        <v>0</v>
      </c>
      <c r="P150" s="33">
        <f>SUM('Школы БУ'!P150+'Школы АУ'!P150)</f>
        <v>0</v>
      </c>
      <c r="Q150" s="33">
        <f>SUM('Школы БУ'!Q150+'Школы АУ'!Q150)</f>
        <v>0</v>
      </c>
      <c r="R150" s="33">
        <f>SUM('Школы БУ'!R150+'Школы АУ'!R150)</f>
        <v>0</v>
      </c>
      <c r="S150" s="33">
        <f>SUM('Школы БУ'!S150+'Школы АУ'!S150)</f>
        <v>0</v>
      </c>
      <c r="T150" s="33">
        <f>SUM('Школы БУ'!T150+'Школы АУ'!T150)</f>
        <v>0</v>
      </c>
    </row>
    <row r="151" spans="1:20" s="6" customFormat="1" ht="49.5" hidden="1" x14ac:dyDescent="0.25">
      <c r="A151" s="63" t="s">
        <v>166</v>
      </c>
      <c r="B151" s="28" t="s">
        <v>167</v>
      </c>
      <c r="C151" s="51">
        <v>226</v>
      </c>
      <c r="D151" s="33">
        <f t="shared" si="44"/>
        <v>0</v>
      </c>
      <c r="E151" s="33">
        <f t="shared" si="45"/>
        <v>0</v>
      </c>
      <c r="F151" s="33"/>
      <c r="G151" s="33">
        <f>SUM('Школы БУ'!G151+'Школы АУ'!G151)</f>
        <v>0</v>
      </c>
      <c r="H151" s="33">
        <f>SUM('Школы БУ'!H151+'Школы АУ'!H151)</f>
        <v>0</v>
      </c>
      <c r="I151" s="33">
        <f>SUM('Школы БУ'!I151+'Школы АУ'!I151)</f>
        <v>0</v>
      </c>
      <c r="J151" s="33">
        <f>SUM('Школы БУ'!J151+'Школы АУ'!J151)</f>
        <v>0</v>
      </c>
      <c r="K151" s="33">
        <f>SUM('Школы БУ'!K151+'Школы АУ'!K151)</f>
        <v>0</v>
      </c>
      <c r="L151" s="33">
        <f>SUM('Школы БУ'!L151+'Школы АУ'!L151)</f>
        <v>0</v>
      </c>
      <c r="M151" s="33">
        <f>SUM('Школы БУ'!M151+'Школы АУ'!M151)</f>
        <v>0</v>
      </c>
      <c r="N151" s="33">
        <f>SUM('Школы БУ'!N151+'Школы АУ'!N151)</f>
        <v>0</v>
      </c>
      <c r="O151" s="33">
        <f>SUM('Школы БУ'!O151+'Школы АУ'!O151)</f>
        <v>0</v>
      </c>
      <c r="P151" s="33">
        <f>SUM('Школы БУ'!P151+'Школы АУ'!P151)</f>
        <v>0</v>
      </c>
      <c r="Q151" s="33">
        <f>SUM('Школы БУ'!Q151+'Школы АУ'!Q151)</f>
        <v>0</v>
      </c>
      <c r="R151" s="33">
        <f>SUM('Школы БУ'!R151+'Школы АУ'!R151)</f>
        <v>0</v>
      </c>
      <c r="S151" s="33">
        <f>SUM('Школы БУ'!S151+'Школы АУ'!S151)</f>
        <v>0</v>
      </c>
      <c r="T151" s="33">
        <f>SUM('Школы БУ'!T151+'Школы АУ'!T151)</f>
        <v>0</v>
      </c>
    </row>
    <row r="152" spans="1:20" s="6" customFormat="1" ht="49.5" hidden="1" x14ac:dyDescent="0.25">
      <c r="A152" s="63" t="s">
        <v>166</v>
      </c>
      <c r="B152" s="28" t="s">
        <v>167</v>
      </c>
      <c r="C152" s="51">
        <v>310</v>
      </c>
      <c r="D152" s="33">
        <f t="shared" si="44"/>
        <v>0</v>
      </c>
      <c r="E152" s="33">
        <f t="shared" si="45"/>
        <v>0</v>
      </c>
      <c r="F152" s="33"/>
      <c r="G152" s="33">
        <f>SUM('Школы БУ'!G152+'Школы АУ'!G152)</f>
        <v>0</v>
      </c>
      <c r="H152" s="33">
        <f>SUM('Школы БУ'!H152+'Школы АУ'!H152)</f>
        <v>0</v>
      </c>
      <c r="I152" s="33">
        <f>SUM('Школы БУ'!I152+'Школы АУ'!I152)</f>
        <v>0</v>
      </c>
      <c r="J152" s="33">
        <f>SUM('Школы БУ'!J152+'Школы АУ'!J152)</f>
        <v>0</v>
      </c>
      <c r="K152" s="33">
        <f>SUM('Школы БУ'!K152+'Школы АУ'!K152)</f>
        <v>0</v>
      </c>
      <c r="L152" s="33">
        <f>SUM('Школы БУ'!L152+'Школы АУ'!L152)</f>
        <v>0</v>
      </c>
      <c r="M152" s="33">
        <f>SUM('Школы БУ'!M152+'Школы АУ'!M152)</f>
        <v>0</v>
      </c>
      <c r="N152" s="33">
        <f>SUM('Школы БУ'!N152+'Школы АУ'!N152)</f>
        <v>0</v>
      </c>
      <c r="O152" s="33">
        <f>SUM('Школы БУ'!O152+'Школы АУ'!O152)</f>
        <v>0</v>
      </c>
      <c r="P152" s="33">
        <f>SUM('Школы БУ'!P152+'Школы АУ'!P152)</f>
        <v>0</v>
      </c>
      <c r="Q152" s="33">
        <f>SUM('Школы БУ'!Q152+'Школы АУ'!Q152)</f>
        <v>0</v>
      </c>
      <c r="R152" s="33">
        <f>SUM('Школы БУ'!R152+'Школы АУ'!R152)</f>
        <v>0</v>
      </c>
      <c r="S152" s="33">
        <f>SUM('Школы БУ'!S152+'Школы АУ'!S152)</f>
        <v>0</v>
      </c>
      <c r="T152" s="33">
        <f>SUM('Школы БУ'!T152+'Школы АУ'!T152)</f>
        <v>0</v>
      </c>
    </row>
    <row r="153" spans="1:20" s="6" customFormat="1" ht="33" hidden="1" x14ac:dyDescent="0.25">
      <c r="A153" s="63" t="s">
        <v>168</v>
      </c>
      <c r="B153" s="28" t="s">
        <v>169</v>
      </c>
      <c r="C153" s="51">
        <v>226</v>
      </c>
      <c r="D153" s="33">
        <f t="shared" si="44"/>
        <v>0</v>
      </c>
      <c r="E153" s="33">
        <f t="shared" si="45"/>
        <v>0</v>
      </c>
      <c r="F153" s="33"/>
      <c r="G153" s="33">
        <f>SUM('Школы БУ'!G153+'Школы АУ'!G153)</f>
        <v>0</v>
      </c>
      <c r="H153" s="33">
        <f>SUM('Школы БУ'!H153+'Школы АУ'!H153)</f>
        <v>0</v>
      </c>
      <c r="I153" s="33">
        <f>SUM('Школы БУ'!I153+'Школы АУ'!I153)</f>
        <v>0</v>
      </c>
      <c r="J153" s="33">
        <f>SUM('Школы БУ'!J153+'Школы АУ'!J153)</f>
        <v>0</v>
      </c>
      <c r="K153" s="33">
        <f>SUM('Школы БУ'!K153+'Школы АУ'!K153)</f>
        <v>0</v>
      </c>
      <c r="L153" s="33">
        <f>SUM('Школы БУ'!L153+'Школы АУ'!L153)</f>
        <v>0</v>
      </c>
      <c r="M153" s="33">
        <f>SUM('Школы БУ'!M153+'Школы АУ'!M153)</f>
        <v>0</v>
      </c>
      <c r="N153" s="33">
        <f>SUM('Школы БУ'!N153+'Школы АУ'!N153)</f>
        <v>0</v>
      </c>
      <c r="O153" s="33">
        <f>SUM('Школы БУ'!O153+'Школы АУ'!O153)</f>
        <v>0</v>
      </c>
      <c r="P153" s="33">
        <f>SUM('Школы БУ'!P153+'Школы АУ'!P153)</f>
        <v>0</v>
      </c>
      <c r="Q153" s="33">
        <f>SUM('Школы БУ'!Q153+'Школы АУ'!Q153)</f>
        <v>0</v>
      </c>
      <c r="R153" s="33">
        <f>SUM('Школы БУ'!R153+'Школы АУ'!R153)</f>
        <v>0</v>
      </c>
      <c r="S153" s="33">
        <f>SUM('Школы БУ'!S153+'Школы АУ'!S153)</f>
        <v>0</v>
      </c>
      <c r="T153" s="33">
        <f>SUM('Школы БУ'!T153+'Школы АУ'!T153)</f>
        <v>0</v>
      </c>
    </row>
    <row r="154" spans="1:20" s="6" customFormat="1" ht="33" hidden="1" x14ac:dyDescent="0.25">
      <c r="A154" s="63" t="s">
        <v>168</v>
      </c>
      <c r="B154" s="28" t="s">
        <v>169</v>
      </c>
      <c r="C154" s="51">
        <v>310</v>
      </c>
      <c r="D154" s="33">
        <f t="shared" si="44"/>
        <v>0</v>
      </c>
      <c r="E154" s="33">
        <f t="shared" si="45"/>
        <v>0</v>
      </c>
      <c r="F154" s="33"/>
      <c r="G154" s="33">
        <f>SUM('Школы БУ'!G154+'Школы АУ'!G154)</f>
        <v>0</v>
      </c>
      <c r="H154" s="33">
        <f>SUM('Школы БУ'!H154+'Школы АУ'!H154)</f>
        <v>0</v>
      </c>
      <c r="I154" s="33">
        <f>SUM('Школы БУ'!I154+'Школы АУ'!I154)</f>
        <v>0</v>
      </c>
      <c r="J154" s="33">
        <f>SUM('Школы БУ'!J154+'Школы АУ'!J154)</f>
        <v>0</v>
      </c>
      <c r="K154" s="33">
        <f>SUM('Школы БУ'!K154+'Школы АУ'!K154)</f>
        <v>0</v>
      </c>
      <c r="L154" s="33">
        <f>SUM('Школы БУ'!L154+'Школы АУ'!L154)</f>
        <v>0</v>
      </c>
      <c r="M154" s="33">
        <f>SUM('Школы БУ'!M154+'Школы АУ'!M154)</f>
        <v>0</v>
      </c>
      <c r="N154" s="33">
        <f>SUM('Школы БУ'!N154+'Школы АУ'!N154)</f>
        <v>0</v>
      </c>
      <c r="O154" s="33">
        <f>SUM('Школы БУ'!O154+'Школы АУ'!O154)</f>
        <v>0</v>
      </c>
      <c r="P154" s="33">
        <f>SUM('Школы БУ'!P154+'Школы АУ'!P154)</f>
        <v>0</v>
      </c>
      <c r="Q154" s="33">
        <f>SUM('Школы БУ'!Q154+'Школы АУ'!Q154)</f>
        <v>0</v>
      </c>
      <c r="R154" s="33">
        <f>SUM('Школы БУ'!R154+'Школы АУ'!R154)</f>
        <v>0</v>
      </c>
      <c r="S154" s="33">
        <f>SUM('Школы БУ'!S154+'Школы АУ'!S154)</f>
        <v>0</v>
      </c>
      <c r="T154" s="33">
        <f>SUM('Школы БУ'!T154+'Школы АУ'!T154)</f>
        <v>0</v>
      </c>
    </row>
    <row r="155" spans="1:20" s="6" customFormat="1" ht="33" x14ac:dyDescent="0.25">
      <c r="A155" s="63" t="s">
        <v>170</v>
      </c>
      <c r="B155" s="28" t="s">
        <v>171</v>
      </c>
      <c r="C155" s="51">
        <v>226</v>
      </c>
      <c r="D155" s="33">
        <f t="shared" ref="D155:D218" si="53">SUM(G155+I155+K155+M155+O155+Q155+S155)</f>
        <v>1500000</v>
      </c>
      <c r="E155" s="33">
        <f t="shared" ref="E155:E218" si="54">SUM(H155+J155+L155+N155+P155+R155+T155)</f>
        <v>966000</v>
      </c>
      <c r="F155" s="33"/>
      <c r="G155" s="33">
        <f>SUM('Школы БУ'!G155+'Школы АУ'!G155)</f>
        <v>1500000</v>
      </c>
      <c r="H155" s="33">
        <f>SUM('Школы БУ'!H155+'Школы АУ'!H155)</f>
        <v>966000</v>
      </c>
      <c r="I155" s="33">
        <f>SUM('Школы БУ'!I155+'Школы АУ'!I155)</f>
        <v>0</v>
      </c>
      <c r="J155" s="33">
        <f>SUM('Школы БУ'!J155+'Школы АУ'!J155)</f>
        <v>0</v>
      </c>
      <c r="K155" s="33">
        <f>SUM('Школы БУ'!K155+'Школы АУ'!K155)</f>
        <v>0</v>
      </c>
      <c r="L155" s="33">
        <f>SUM('Школы БУ'!L155+'Школы АУ'!L155)</f>
        <v>0</v>
      </c>
      <c r="M155" s="33">
        <f>SUM('Школы БУ'!M155+'Школы АУ'!M155)</f>
        <v>0</v>
      </c>
      <c r="N155" s="33">
        <f>SUM('Школы БУ'!N155+'Школы АУ'!N155)</f>
        <v>0</v>
      </c>
      <c r="O155" s="33">
        <f>SUM('Школы БУ'!O155+'Школы АУ'!O155)</f>
        <v>0</v>
      </c>
      <c r="P155" s="33">
        <f>SUM('Школы БУ'!P155+'Школы АУ'!P155)</f>
        <v>0</v>
      </c>
      <c r="Q155" s="33">
        <f>SUM('Школы БУ'!Q155+'Школы АУ'!Q155)</f>
        <v>0</v>
      </c>
      <c r="R155" s="33">
        <f>SUM('Школы БУ'!R155+'Школы АУ'!R155)</f>
        <v>0</v>
      </c>
      <c r="S155" s="33">
        <f>SUM('Школы БУ'!S155+'Школы АУ'!S155)</f>
        <v>0</v>
      </c>
      <c r="T155" s="33">
        <f>SUM('Школы БУ'!T155+'Школы АУ'!T155)</f>
        <v>0</v>
      </c>
    </row>
    <row r="156" spans="1:20" s="6" customFormat="1" ht="33" x14ac:dyDescent="0.25">
      <c r="A156" s="63" t="s">
        <v>170</v>
      </c>
      <c r="B156" s="28" t="s">
        <v>171</v>
      </c>
      <c r="C156" s="51">
        <v>310</v>
      </c>
      <c r="D156" s="33">
        <f t="shared" si="53"/>
        <v>212000</v>
      </c>
      <c r="E156" s="33">
        <f t="shared" si="54"/>
        <v>0</v>
      </c>
      <c r="F156" s="33"/>
      <c r="G156" s="33">
        <f>SUM('Школы БУ'!G156+'Школы АУ'!G156)</f>
        <v>212000</v>
      </c>
      <c r="H156" s="33">
        <f>SUM('Школы БУ'!H156+'Школы АУ'!H156)</f>
        <v>0</v>
      </c>
      <c r="I156" s="33">
        <f>SUM('Школы БУ'!I156+'Школы АУ'!I156)</f>
        <v>0</v>
      </c>
      <c r="J156" s="33">
        <f>SUM('Школы БУ'!J156+'Школы АУ'!J156)</f>
        <v>0</v>
      </c>
      <c r="K156" s="33">
        <f>SUM('Школы БУ'!K156+'Школы АУ'!K156)</f>
        <v>0</v>
      </c>
      <c r="L156" s="33">
        <f>SUM('Школы БУ'!L156+'Школы АУ'!L156)</f>
        <v>0</v>
      </c>
      <c r="M156" s="33">
        <f>SUM('Школы БУ'!M156+'Школы АУ'!M156)</f>
        <v>0</v>
      </c>
      <c r="N156" s="33">
        <f>SUM('Школы БУ'!N156+'Школы АУ'!N156)</f>
        <v>0</v>
      </c>
      <c r="O156" s="33">
        <f>SUM('Школы БУ'!O156+'Школы АУ'!O156)</f>
        <v>0</v>
      </c>
      <c r="P156" s="33">
        <f>SUM('Школы БУ'!P156+'Школы АУ'!P156)</f>
        <v>0</v>
      </c>
      <c r="Q156" s="33">
        <f>SUM('Школы БУ'!Q156+'Школы АУ'!Q156)</f>
        <v>0</v>
      </c>
      <c r="R156" s="33">
        <f>SUM('Школы БУ'!R156+'Школы АУ'!R156)</f>
        <v>0</v>
      </c>
      <c r="S156" s="33">
        <f>SUM('Школы БУ'!S156+'Школы АУ'!S156)</f>
        <v>0</v>
      </c>
      <c r="T156" s="33">
        <f>SUM('Школы БУ'!T156+'Школы АУ'!T156)</f>
        <v>0</v>
      </c>
    </row>
    <row r="157" spans="1:20" s="6" customFormat="1" ht="33" x14ac:dyDescent="0.25">
      <c r="A157" s="63" t="s">
        <v>172</v>
      </c>
      <c r="B157" s="28" t="s">
        <v>173</v>
      </c>
      <c r="C157" s="51">
        <v>226</v>
      </c>
      <c r="D157" s="33">
        <f t="shared" si="53"/>
        <v>966000</v>
      </c>
      <c r="E157" s="33">
        <f t="shared" si="54"/>
        <v>0</v>
      </c>
      <c r="F157" s="33"/>
      <c r="G157" s="33">
        <f>SUM('Школы БУ'!G157+'Школы АУ'!G157)</f>
        <v>966000</v>
      </c>
      <c r="H157" s="33">
        <f>SUM('Школы БУ'!H157+'Школы АУ'!H157)</f>
        <v>0</v>
      </c>
      <c r="I157" s="33">
        <f>SUM('Школы БУ'!I157+'Школы АУ'!I157)</f>
        <v>0</v>
      </c>
      <c r="J157" s="33">
        <f>SUM('Школы БУ'!J157+'Школы АУ'!J157)</f>
        <v>0</v>
      </c>
      <c r="K157" s="33">
        <f>SUM('Школы БУ'!K157+'Школы АУ'!K157)</f>
        <v>0</v>
      </c>
      <c r="L157" s="33">
        <f>SUM('Школы БУ'!L157+'Школы АУ'!L157)</f>
        <v>0</v>
      </c>
      <c r="M157" s="33">
        <f>SUM('Школы БУ'!M157+'Школы АУ'!M157)</f>
        <v>0</v>
      </c>
      <c r="N157" s="33">
        <f>SUM('Школы БУ'!N157+'Школы АУ'!N157)</f>
        <v>0</v>
      </c>
      <c r="O157" s="33">
        <f>SUM('Школы БУ'!O157+'Школы АУ'!O157)</f>
        <v>0</v>
      </c>
      <c r="P157" s="33">
        <f>SUM('Школы БУ'!P157+'Школы АУ'!P157)</f>
        <v>0</v>
      </c>
      <c r="Q157" s="33">
        <f>SUM('Школы БУ'!Q157+'Школы АУ'!Q157)</f>
        <v>0</v>
      </c>
      <c r="R157" s="33">
        <f>SUM('Школы БУ'!R157+'Школы АУ'!R157)</f>
        <v>0</v>
      </c>
      <c r="S157" s="33">
        <f>SUM('Школы БУ'!S157+'Школы АУ'!S157)</f>
        <v>0</v>
      </c>
      <c r="T157" s="33">
        <f>SUM('Школы БУ'!T157+'Школы АУ'!T157)</f>
        <v>0</v>
      </c>
    </row>
    <row r="158" spans="1:20" s="6" customFormat="1" ht="33" hidden="1" x14ac:dyDescent="0.25">
      <c r="A158" s="63" t="s">
        <v>172</v>
      </c>
      <c r="B158" s="28" t="s">
        <v>174</v>
      </c>
      <c r="C158" s="51">
        <v>310</v>
      </c>
      <c r="D158" s="33">
        <f t="shared" si="53"/>
        <v>0</v>
      </c>
      <c r="E158" s="33">
        <f t="shared" si="54"/>
        <v>0</v>
      </c>
      <c r="F158" s="33"/>
      <c r="G158" s="33">
        <f>SUM('Школы БУ'!G158+'Школы АУ'!G158)</f>
        <v>0</v>
      </c>
      <c r="H158" s="33"/>
      <c r="I158" s="33">
        <f>SUM('Школы БУ'!I158+'Школы АУ'!I158)</f>
        <v>0</v>
      </c>
      <c r="J158" s="33"/>
      <c r="K158" s="33">
        <f>SUM('Школы БУ'!K158+'Школы АУ'!K158)</f>
        <v>0</v>
      </c>
      <c r="L158" s="33"/>
      <c r="M158" s="33">
        <f>SUM('Школы БУ'!M158+'Школы АУ'!M158)</f>
        <v>0</v>
      </c>
      <c r="N158" s="33"/>
      <c r="O158" s="33">
        <f>SUM('Школы БУ'!O158+'Школы АУ'!O158)</f>
        <v>0</v>
      </c>
      <c r="P158" s="33"/>
      <c r="Q158" s="33">
        <f>SUM('Школы БУ'!Q158+'Школы АУ'!Q158)</f>
        <v>0</v>
      </c>
      <c r="R158" s="33"/>
      <c r="S158" s="33">
        <f>SUM('Школы БУ'!S158+'Школы АУ'!S158)</f>
        <v>0</v>
      </c>
      <c r="T158" s="33">
        <f>SUM('Школы БУ'!T158+'Школы АУ'!T158)</f>
        <v>0</v>
      </c>
    </row>
    <row r="159" spans="1:20" s="6" customFormat="1" ht="33" hidden="1" x14ac:dyDescent="0.25">
      <c r="A159" s="63" t="s">
        <v>175</v>
      </c>
      <c r="B159" s="28" t="s">
        <v>176</v>
      </c>
      <c r="C159" s="51">
        <v>226</v>
      </c>
      <c r="D159" s="33">
        <f t="shared" si="53"/>
        <v>0</v>
      </c>
      <c r="E159" s="33">
        <f t="shared" si="54"/>
        <v>0</v>
      </c>
      <c r="F159" s="33"/>
      <c r="G159" s="33">
        <f>SUM('Школы БУ'!G159+'Школы АУ'!G159)</f>
        <v>0</v>
      </c>
      <c r="H159" s="33"/>
      <c r="I159" s="33">
        <f>SUM('Школы БУ'!I159+'Школы АУ'!I159)</f>
        <v>0</v>
      </c>
      <c r="J159" s="33"/>
      <c r="K159" s="33">
        <f>SUM('Школы БУ'!K159+'Школы АУ'!K159)</f>
        <v>0</v>
      </c>
      <c r="L159" s="33"/>
      <c r="M159" s="33">
        <f>SUM('Школы БУ'!M159+'Школы АУ'!M159)</f>
        <v>0</v>
      </c>
      <c r="N159" s="33"/>
      <c r="O159" s="33">
        <f>SUM('Школы БУ'!O159+'Школы АУ'!O159)</f>
        <v>0</v>
      </c>
      <c r="P159" s="33"/>
      <c r="Q159" s="33">
        <f>SUM('Школы БУ'!Q159+'Школы АУ'!Q159)</f>
        <v>0</v>
      </c>
      <c r="R159" s="33"/>
      <c r="S159" s="33">
        <f>SUM('Школы БУ'!S159+'Школы АУ'!S159)</f>
        <v>0</v>
      </c>
      <c r="T159" s="33">
        <f>SUM('Школы БУ'!T159+'Школы АУ'!T159)</f>
        <v>0</v>
      </c>
    </row>
    <row r="160" spans="1:20" s="6" customFormat="1" ht="16.5" hidden="1" x14ac:dyDescent="0.25">
      <c r="A160" s="63" t="s">
        <v>177</v>
      </c>
      <c r="B160" s="28" t="s">
        <v>178</v>
      </c>
      <c r="C160" s="51">
        <v>310</v>
      </c>
      <c r="D160" s="33">
        <f t="shared" si="53"/>
        <v>0</v>
      </c>
      <c r="E160" s="33">
        <f t="shared" si="54"/>
        <v>0</v>
      </c>
      <c r="F160" s="33"/>
      <c r="G160" s="33">
        <f>SUM('Школы БУ'!G160+'Школы АУ'!G160)</f>
        <v>0</v>
      </c>
      <c r="H160" s="33"/>
      <c r="I160" s="33">
        <f>SUM('Школы БУ'!I160+'Школы АУ'!I160)</f>
        <v>0</v>
      </c>
      <c r="J160" s="33"/>
      <c r="K160" s="33">
        <f>SUM('Школы БУ'!K160+'Школы АУ'!K160)</f>
        <v>0</v>
      </c>
      <c r="L160" s="33"/>
      <c r="M160" s="33">
        <f>SUM('Школы БУ'!M160+'Школы АУ'!M160)</f>
        <v>0</v>
      </c>
      <c r="N160" s="33"/>
      <c r="O160" s="33">
        <f>SUM('Школы БУ'!O160+'Школы АУ'!O160)</f>
        <v>0</v>
      </c>
      <c r="P160" s="33"/>
      <c r="Q160" s="33">
        <f>SUM('Школы БУ'!Q160+'Школы АУ'!Q160)</f>
        <v>0</v>
      </c>
      <c r="R160" s="33"/>
      <c r="S160" s="33">
        <f>SUM('Школы БУ'!S160+'Школы АУ'!S160)</f>
        <v>0</v>
      </c>
      <c r="T160" s="33">
        <f>SUM('Школы БУ'!T160+'Школы АУ'!T160)</f>
        <v>0</v>
      </c>
    </row>
    <row r="161" spans="1:20" s="6" customFormat="1" ht="33" hidden="1" x14ac:dyDescent="0.25">
      <c r="A161" s="63" t="s">
        <v>179</v>
      </c>
      <c r="B161" s="28" t="s">
        <v>180</v>
      </c>
      <c r="C161" s="51">
        <v>226</v>
      </c>
      <c r="D161" s="33">
        <f t="shared" si="53"/>
        <v>0</v>
      </c>
      <c r="E161" s="33">
        <f t="shared" si="54"/>
        <v>0</v>
      </c>
      <c r="F161" s="33"/>
      <c r="G161" s="33">
        <f>SUM('Школы БУ'!G161+'Школы АУ'!G161)</f>
        <v>0</v>
      </c>
      <c r="H161" s="33"/>
      <c r="I161" s="33">
        <f>SUM('Школы БУ'!I161+'Школы АУ'!I161)</f>
        <v>0</v>
      </c>
      <c r="J161" s="33"/>
      <c r="K161" s="33">
        <f>SUM('Школы БУ'!K161+'Школы АУ'!K161)</f>
        <v>0</v>
      </c>
      <c r="L161" s="33"/>
      <c r="M161" s="33">
        <f>SUM('Школы БУ'!M161+'Школы АУ'!M161)</f>
        <v>0</v>
      </c>
      <c r="N161" s="33"/>
      <c r="O161" s="33">
        <f>SUM('Школы БУ'!O161+'Школы АУ'!O161)</f>
        <v>0</v>
      </c>
      <c r="P161" s="33"/>
      <c r="Q161" s="33">
        <f>SUM('Школы БУ'!Q161+'Школы АУ'!Q161)</f>
        <v>0</v>
      </c>
      <c r="R161" s="33"/>
      <c r="S161" s="33">
        <f>SUM('Школы БУ'!S161+'Школы АУ'!S161)</f>
        <v>0</v>
      </c>
      <c r="T161" s="33">
        <f>SUM('Школы БУ'!T161+'Школы АУ'!T161)</f>
        <v>0</v>
      </c>
    </row>
    <row r="162" spans="1:20" s="6" customFormat="1" ht="33" hidden="1" x14ac:dyDescent="0.25">
      <c r="A162" s="63" t="s">
        <v>181</v>
      </c>
      <c r="B162" s="28" t="s">
        <v>182</v>
      </c>
      <c r="C162" s="51">
        <v>226</v>
      </c>
      <c r="D162" s="33">
        <f t="shared" si="53"/>
        <v>0</v>
      </c>
      <c r="E162" s="33">
        <f t="shared" si="54"/>
        <v>0</v>
      </c>
      <c r="F162" s="33"/>
      <c r="G162" s="33">
        <f>SUM('Школы БУ'!G162+'Школы АУ'!G162)</f>
        <v>0</v>
      </c>
      <c r="H162" s="33"/>
      <c r="I162" s="33">
        <f>SUM('Школы БУ'!I162+'Школы АУ'!I162)</f>
        <v>0</v>
      </c>
      <c r="J162" s="33"/>
      <c r="K162" s="33">
        <f>SUM('Школы БУ'!K162+'Школы АУ'!K162)</f>
        <v>0</v>
      </c>
      <c r="L162" s="33"/>
      <c r="M162" s="33">
        <f>SUM('Школы БУ'!M162+'Школы АУ'!M162)</f>
        <v>0</v>
      </c>
      <c r="N162" s="33"/>
      <c r="O162" s="33">
        <f>SUM('Школы БУ'!O162+'Школы АУ'!O162)</f>
        <v>0</v>
      </c>
      <c r="P162" s="33"/>
      <c r="Q162" s="33">
        <f>SUM('Школы БУ'!Q162+'Школы АУ'!Q162)</f>
        <v>0</v>
      </c>
      <c r="R162" s="33"/>
      <c r="S162" s="33">
        <f>SUM('Школы БУ'!S162+'Школы АУ'!S162)</f>
        <v>0</v>
      </c>
      <c r="T162" s="33">
        <f>SUM('Школы БУ'!T162+'Школы АУ'!T162)</f>
        <v>0</v>
      </c>
    </row>
    <row r="163" spans="1:20" s="6" customFormat="1" ht="33" hidden="1" x14ac:dyDescent="0.25">
      <c r="A163" s="63" t="s">
        <v>183</v>
      </c>
      <c r="B163" s="28" t="s">
        <v>184</v>
      </c>
      <c r="C163" s="51">
        <v>310</v>
      </c>
      <c r="D163" s="33">
        <f t="shared" si="53"/>
        <v>0</v>
      </c>
      <c r="E163" s="33">
        <f t="shared" si="54"/>
        <v>0</v>
      </c>
      <c r="F163" s="33"/>
      <c r="G163" s="33">
        <f>SUM('Школы БУ'!G163+'Школы АУ'!G163)</f>
        <v>0</v>
      </c>
      <c r="H163" s="33"/>
      <c r="I163" s="33">
        <f>SUM('Школы БУ'!I163+'Школы АУ'!I163)</f>
        <v>0</v>
      </c>
      <c r="J163" s="33"/>
      <c r="K163" s="33">
        <f>SUM('Школы БУ'!K163+'Школы АУ'!K163)</f>
        <v>0</v>
      </c>
      <c r="L163" s="33"/>
      <c r="M163" s="33">
        <f>SUM('Школы БУ'!M163+'Школы АУ'!M163)</f>
        <v>0</v>
      </c>
      <c r="N163" s="33"/>
      <c r="O163" s="33">
        <f>SUM('Школы БУ'!O163+'Школы АУ'!O163)</f>
        <v>0</v>
      </c>
      <c r="P163" s="33"/>
      <c r="Q163" s="33">
        <f>SUM('Школы БУ'!Q163+'Школы АУ'!Q163)</f>
        <v>0</v>
      </c>
      <c r="R163" s="33"/>
      <c r="S163" s="33">
        <f>SUM('Школы БУ'!S163+'Школы АУ'!S163)</f>
        <v>0</v>
      </c>
      <c r="T163" s="33">
        <f>SUM('Школы БУ'!T163+'Школы АУ'!T163)</f>
        <v>0</v>
      </c>
    </row>
    <row r="164" spans="1:20" s="6" customFormat="1" ht="16.5" hidden="1" x14ac:dyDescent="0.25">
      <c r="A164" s="63" t="s">
        <v>185</v>
      </c>
      <c r="B164" s="28" t="s">
        <v>186</v>
      </c>
      <c r="C164" s="51">
        <v>310</v>
      </c>
      <c r="D164" s="33">
        <f t="shared" si="53"/>
        <v>0</v>
      </c>
      <c r="E164" s="33">
        <f t="shared" si="54"/>
        <v>0</v>
      </c>
      <c r="F164" s="33"/>
      <c r="G164" s="33">
        <f>SUM('Школы БУ'!G164+'Школы АУ'!G164)</f>
        <v>0</v>
      </c>
      <c r="H164" s="33"/>
      <c r="I164" s="33">
        <f>SUM('Школы БУ'!I164+'Школы АУ'!I164)</f>
        <v>0</v>
      </c>
      <c r="J164" s="33"/>
      <c r="K164" s="33">
        <f>SUM('Школы БУ'!K164+'Школы АУ'!K164)</f>
        <v>0</v>
      </c>
      <c r="L164" s="33"/>
      <c r="M164" s="33">
        <f>SUM('Школы БУ'!M164+'Школы АУ'!M164)</f>
        <v>0</v>
      </c>
      <c r="N164" s="33"/>
      <c r="O164" s="33">
        <f>SUM('Школы БУ'!O164+'Школы АУ'!O164)</f>
        <v>0</v>
      </c>
      <c r="P164" s="33"/>
      <c r="Q164" s="33">
        <f>SUM('Школы БУ'!Q164+'Школы АУ'!Q164)</f>
        <v>0</v>
      </c>
      <c r="R164" s="33"/>
      <c r="S164" s="33">
        <f>SUM('Школы БУ'!S164+'Школы АУ'!S164)</f>
        <v>0</v>
      </c>
      <c r="T164" s="33">
        <f>SUM('Школы БУ'!T164+'Школы АУ'!T164)</f>
        <v>0</v>
      </c>
    </row>
    <row r="165" spans="1:20" s="20" customFormat="1" ht="51.75" hidden="1" x14ac:dyDescent="0.25">
      <c r="A165" s="59" t="s">
        <v>29</v>
      </c>
      <c r="B165" s="48" t="s">
        <v>44</v>
      </c>
      <c r="C165" s="54"/>
      <c r="D165" s="33">
        <f t="shared" si="53"/>
        <v>0</v>
      </c>
      <c r="E165" s="33">
        <f t="shared" si="54"/>
        <v>0</v>
      </c>
      <c r="F165" s="33"/>
      <c r="G165" s="33">
        <f>SUM('Школы БУ'!G165+'Школы АУ'!G165)</f>
        <v>0</v>
      </c>
      <c r="H165" s="25"/>
      <c r="I165" s="25">
        <f t="shared" ref="I165:T165" si="55">SUM(I166)</f>
        <v>0</v>
      </c>
      <c r="J165" s="25"/>
      <c r="K165" s="25">
        <f t="shared" si="55"/>
        <v>0</v>
      </c>
      <c r="L165" s="25"/>
      <c r="M165" s="25">
        <f t="shared" si="55"/>
        <v>0</v>
      </c>
      <c r="N165" s="25"/>
      <c r="O165" s="25">
        <f t="shared" si="55"/>
        <v>0</v>
      </c>
      <c r="P165" s="25"/>
      <c r="Q165" s="25">
        <f t="shared" si="55"/>
        <v>0</v>
      </c>
      <c r="R165" s="25"/>
      <c r="S165" s="25">
        <f t="shared" si="55"/>
        <v>0</v>
      </c>
      <c r="T165" s="25">
        <f t="shared" si="55"/>
        <v>0</v>
      </c>
    </row>
    <row r="166" spans="1:20" s="22" customFormat="1" ht="33" hidden="1" x14ac:dyDescent="0.25">
      <c r="A166" s="52" t="s">
        <v>187</v>
      </c>
      <c r="B166" s="28" t="s">
        <v>188</v>
      </c>
      <c r="C166" s="55">
        <v>225</v>
      </c>
      <c r="D166" s="33">
        <f t="shared" si="53"/>
        <v>0</v>
      </c>
      <c r="E166" s="33">
        <f t="shared" si="54"/>
        <v>0</v>
      </c>
      <c r="F166" s="33"/>
      <c r="G166" s="33">
        <f>SUM('Школы БУ'!G166+'Школы АУ'!G166)</f>
        <v>0</v>
      </c>
      <c r="H166" s="33"/>
      <c r="I166" s="33">
        <f>SUM('Школы БУ'!I166+'Школы АУ'!I166)</f>
        <v>0</v>
      </c>
      <c r="J166" s="33"/>
      <c r="K166" s="33">
        <f>SUM('Школы БУ'!K166+'Школы АУ'!K166)</f>
        <v>0</v>
      </c>
      <c r="L166" s="33"/>
      <c r="M166" s="33">
        <f>SUM('Школы БУ'!M166+'Школы АУ'!M166)</f>
        <v>0</v>
      </c>
      <c r="N166" s="33"/>
      <c r="O166" s="33">
        <f>SUM('Школы БУ'!O166+'Школы АУ'!O166)</f>
        <v>0</v>
      </c>
      <c r="P166" s="33"/>
      <c r="Q166" s="33">
        <f>SUM('Школы БУ'!Q166+'Школы АУ'!Q166)</f>
        <v>0</v>
      </c>
      <c r="R166" s="33"/>
      <c r="S166" s="33">
        <f>SUM('Школы БУ'!S166+'Школы АУ'!S166)</f>
        <v>0</v>
      </c>
      <c r="T166" s="33">
        <f>SUM('Школы БУ'!T166+'Школы АУ'!T166)</f>
        <v>0</v>
      </c>
    </row>
    <row r="167" spans="1:20" s="22" customFormat="1" ht="16.5" hidden="1" x14ac:dyDescent="0.25">
      <c r="A167" s="52"/>
      <c r="B167" s="28"/>
      <c r="C167" s="55"/>
      <c r="D167" s="33">
        <f t="shared" si="53"/>
        <v>0</v>
      </c>
      <c r="E167" s="33">
        <f t="shared" si="54"/>
        <v>0</v>
      </c>
      <c r="F167" s="33"/>
      <c r="G167" s="33">
        <f>SUM('Школы БУ'!G167+'Школы АУ'!G167)</f>
        <v>0</v>
      </c>
      <c r="H167" s="33"/>
      <c r="I167" s="33">
        <f>SUM('Школы БУ'!I167+'Школы АУ'!I167)</f>
        <v>0</v>
      </c>
      <c r="J167" s="33"/>
      <c r="K167" s="33">
        <f>SUM('Школы БУ'!K167+'Школы АУ'!K167)</f>
        <v>0</v>
      </c>
      <c r="L167" s="33"/>
      <c r="M167" s="33">
        <f>SUM('Школы БУ'!M167+'Школы АУ'!M167)</f>
        <v>0</v>
      </c>
      <c r="N167" s="33"/>
      <c r="O167" s="33">
        <f>SUM('Школы БУ'!O167+'Школы АУ'!O167)</f>
        <v>0</v>
      </c>
      <c r="P167" s="33"/>
      <c r="Q167" s="33">
        <f>SUM('Школы БУ'!Q167+'Школы АУ'!Q167)</f>
        <v>0</v>
      </c>
      <c r="R167" s="33"/>
      <c r="S167" s="33">
        <f>SUM('Школы БУ'!S167+'Школы АУ'!S167)</f>
        <v>0</v>
      </c>
      <c r="T167" s="33">
        <f>SUM('Школы БУ'!T167+'Школы АУ'!T167)</f>
        <v>0</v>
      </c>
    </row>
    <row r="168" spans="1:20" s="30" customFormat="1" ht="69" x14ac:dyDescent="0.25">
      <c r="A168" s="53" t="s">
        <v>31</v>
      </c>
      <c r="B168" s="48" t="s">
        <v>189</v>
      </c>
      <c r="C168" s="70"/>
      <c r="D168" s="25">
        <f t="shared" ref="D168:T168" si="56">SUM(D169:D173)</f>
        <v>3747979</v>
      </c>
      <c r="E168" s="25">
        <f t="shared" si="56"/>
        <v>255137.11</v>
      </c>
      <c r="F168" s="25"/>
      <c r="G168" s="25">
        <f t="shared" si="56"/>
        <v>3747979</v>
      </c>
      <c r="H168" s="25">
        <f t="shared" si="56"/>
        <v>255137.11</v>
      </c>
      <c r="I168" s="25">
        <f t="shared" si="56"/>
        <v>0</v>
      </c>
      <c r="J168" s="25">
        <f t="shared" si="56"/>
        <v>0</v>
      </c>
      <c r="K168" s="25">
        <f t="shared" si="56"/>
        <v>0</v>
      </c>
      <c r="L168" s="25">
        <f t="shared" si="56"/>
        <v>0</v>
      </c>
      <c r="M168" s="25">
        <f t="shared" si="56"/>
        <v>0</v>
      </c>
      <c r="N168" s="25">
        <f t="shared" si="56"/>
        <v>0</v>
      </c>
      <c r="O168" s="25">
        <f t="shared" si="56"/>
        <v>0</v>
      </c>
      <c r="P168" s="25">
        <f t="shared" si="56"/>
        <v>0</v>
      </c>
      <c r="Q168" s="25">
        <f t="shared" si="56"/>
        <v>0</v>
      </c>
      <c r="R168" s="25">
        <f t="shared" si="56"/>
        <v>0</v>
      </c>
      <c r="S168" s="25">
        <f t="shared" si="56"/>
        <v>0</v>
      </c>
      <c r="T168" s="25">
        <f t="shared" si="56"/>
        <v>0</v>
      </c>
    </row>
    <row r="169" spans="1:20" s="22" customFormat="1" ht="49.5" hidden="1" x14ac:dyDescent="0.25">
      <c r="A169" s="52" t="s">
        <v>190</v>
      </c>
      <c r="B169" s="28" t="s">
        <v>191</v>
      </c>
      <c r="C169" s="55"/>
      <c r="D169" s="33">
        <f t="shared" si="53"/>
        <v>0</v>
      </c>
      <c r="E169" s="33">
        <f t="shared" si="54"/>
        <v>0</v>
      </c>
      <c r="F169" s="33"/>
      <c r="G169" s="33">
        <f>SUM('Школы БУ'!G169+'Школы АУ'!G169)</f>
        <v>0</v>
      </c>
      <c r="H169" s="33"/>
      <c r="I169" s="33">
        <f>SUM('Школы БУ'!I169+'Школы АУ'!I169)</f>
        <v>0</v>
      </c>
      <c r="J169" s="33"/>
      <c r="K169" s="33">
        <f>SUM('Школы БУ'!K169+'Школы АУ'!K169)</f>
        <v>0</v>
      </c>
      <c r="L169" s="33"/>
      <c r="M169" s="33">
        <f>SUM('Школы БУ'!M169+'Школы АУ'!M169)</f>
        <v>0</v>
      </c>
      <c r="N169" s="33"/>
      <c r="O169" s="33">
        <f>SUM('Школы БУ'!O169+'Школы АУ'!O169)</f>
        <v>0</v>
      </c>
      <c r="P169" s="33"/>
      <c r="Q169" s="33">
        <f>SUM('Школы БУ'!Q169+'Школы АУ'!Q169)</f>
        <v>0</v>
      </c>
      <c r="R169" s="33"/>
      <c r="S169" s="33">
        <f>SUM('Школы БУ'!S169+'Школы АУ'!S169)</f>
        <v>0</v>
      </c>
      <c r="T169" s="33">
        <f>SUM('Школы БУ'!T169+'Школы АУ'!T169)</f>
        <v>0</v>
      </c>
    </row>
    <row r="170" spans="1:20" s="22" customFormat="1" ht="49.5" x14ac:dyDescent="0.25">
      <c r="A170" s="52" t="s">
        <v>192</v>
      </c>
      <c r="B170" s="28" t="s">
        <v>291</v>
      </c>
      <c r="C170" s="55">
        <v>226</v>
      </c>
      <c r="D170" s="33">
        <f t="shared" si="53"/>
        <v>1475577</v>
      </c>
      <c r="E170" s="33">
        <f t="shared" si="54"/>
        <v>158593.10999999999</v>
      </c>
      <c r="F170" s="33"/>
      <c r="G170" s="33">
        <f>SUM('Школы БУ'!G170+'Школы АУ'!G170)</f>
        <v>1475577</v>
      </c>
      <c r="H170" s="33">
        <f>SUM('Школы БУ'!H170+'Школы АУ'!H170)</f>
        <v>158593.10999999999</v>
      </c>
      <c r="I170" s="33">
        <f>SUM('Школы БУ'!I170+'Школы АУ'!I170)</f>
        <v>0</v>
      </c>
      <c r="J170" s="33">
        <f>SUM('Школы БУ'!J170+'Школы АУ'!J170)</f>
        <v>0</v>
      </c>
      <c r="K170" s="33">
        <f>SUM('Школы БУ'!K170+'Школы АУ'!K170)</f>
        <v>0</v>
      </c>
      <c r="L170" s="33">
        <f>SUM('Школы БУ'!L170+'Школы АУ'!L170)</f>
        <v>0</v>
      </c>
      <c r="M170" s="33">
        <f>SUM('Школы БУ'!M170+'Школы АУ'!M170)</f>
        <v>0</v>
      </c>
      <c r="N170" s="33">
        <f>SUM('Школы БУ'!N170+'Школы АУ'!N170)</f>
        <v>0</v>
      </c>
      <c r="O170" s="33">
        <f>SUM('Школы БУ'!O170+'Школы АУ'!O170)</f>
        <v>0</v>
      </c>
      <c r="P170" s="33">
        <f>SUM('Школы БУ'!P170+'Школы АУ'!P170)</f>
        <v>0</v>
      </c>
      <c r="Q170" s="33">
        <f>SUM('Школы БУ'!Q170+'Школы АУ'!Q170)</f>
        <v>0</v>
      </c>
      <c r="R170" s="33">
        <f>SUM('Школы БУ'!R170+'Школы АУ'!R170)</f>
        <v>0</v>
      </c>
      <c r="S170" s="33">
        <f>SUM('Школы БУ'!S170+'Школы АУ'!S170)</f>
        <v>0</v>
      </c>
      <c r="T170" s="33">
        <f>SUM('Школы БУ'!T170+'Школы АУ'!T170)</f>
        <v>0</v>
      </c>
    </row>
    <row r="171" spans="1:20" s="22" customFormat="1" ht="49.5" x14ac:dyDescent="0.25">
      <c r="A171" s="52" t="s">
        <v>192</v>
      </c>
      <c r="B171" s="28" t="s">
        <v>291</v>
      </c>
      <c r="C171" s="55">
        <v>310</v>
      </c>
      <c r="D171" s="33">
        <f t="shared" si="53"/>
        <v>1758630</v>
      </c>
      <c r="E171" s="33">
        <f t="shared" si="54"/>
        <v>96544</v>
      </c>
      <c r="F171" s="33"/>
      <c r="G171" s="33">
        <f>SUM('Школы БУ'!G171+'Школы АУ'!G171)</f>
        <v>1758630</v>
      </c>
      <c r="H171" s="33">
        <f>SUM('Школы БУ'!H171+'Школы АУ'!H171)</f>
        <v>96544</v>
      </c>
      <c r="I171" s="33">
        <f>SUM('Школы БУ'!I171+'Школы АУ'!I171)</f>
        <v>0</v>
      </c>
      <c r="J171" s="33">
        <f>SUM('Школы БУ'!J171+'Школы АУ'!J171)</f>
        <v>0</v>
      </c>
      <c r="K171" s="33">
        <f>SUM('Школы БУ'!K171+'Школы АУ'!K171)</f>
        <v>0</v>
      </c>
      <c r="L171" s="33">
        <f>SUM('Школы БУ'!L171+'Школы АУ'!L171)</f>
        <v>0</v>
      </c>
      <c r="M171" s="33">
        <f>SUM('Школы БУ'!M171+'Школы АУ'!M171)</f>
        <v>0</v>
      </c>
      <c r="N171" s="33">
        <f>SUM('Школы БУ'!N171+'Школы АУ'!N171)</f>
        <v>0</v>
      </c>
      <c r="O171" s="33">
        <f>SUM('Школы БУ'!O171+'Школы АУ'!O171)</f>
        <v>0</v>
      </c>
      <c r="P171" s="33">
        <f>SUM('Школы БУ'!P171+'Школы АУ'!P171)</f>
        <v>0</v>
      </c>
      <c r="Q171" s="33">
        <f>SUM('Школы БУ'!Q171+'Школы АУ'!Q171)</f>
        <v>0</v>
      </c>
      <c r="R171" s="33">
        <f>SUM('Школы БУ'!R171+'Школы АУ'!R171)</f>
        <v>0</v>
      </c>
      <c r="S171" s="33">
        <f>SUM('Школы БУ'!S171+'Школы АУ'!S171)</f>
        <v>0</v>
      </c>
      <c r="T171" s="33">
        <f>SUM('Школы БУ'!T171+'Школы АУ'!T171)</f>
        <v>0</v>
      </c>
    </row>
    <row r="172" spans="1:20" s="22" customFormat="1" ht="49.5" x14ac:dyDescent="0.25">
      <c r="A172" s="52" t="s">
        <v>192</v>
      </c>
      <c r="B172" s="28" t="s">
        <v>291</v>
      </c>
      <c r="C172" s="55">
        <v>340</v>
      </c>
      <c r="D172" s="33">
        <f t="shared" si="53"/>
        <v>513772</v>
      </c>
      <c r="E172" s="33">
        <f t="shared" si="54"/>
        <v>0</v>
      </c>
      <c r="F172" s="33"/>
      <c r="G172" s="33">
        <f>SUM('Школы БУ'!G172+'Школы АУ'!G172)</f>
        <v>513772</v>
      </c>
      <c r="H172" s="33">
        <f>SUM('Школы БУ'!H172+'Школы АУ'!H172)</f>
        <v>0</v>
      </c>
      <c r="I172" s="33">
        <f>SUM('Школы БУ'!I172+'Школы АУ'!I172)</f>
        <v>0</v>
      </c>
      <c r="J172" s="33">
        <f>SUM('Школы БУ'!J172+'Школы АУ'!J172)</f>
        <v>0</v>
      </c>
      <c r="K172" s="33">
        <f>SUM('Школы БУ'!K172+'Школы АУ'!K172)</f>
        <v>0</v>
      </c>
      <c r="L172" s="33">
        <f>SUM('Школы БУ'!L172+'Школы АУ'!L172)</f>
        <v>0</v>
      </c>
      <c r="M172" s="33">
        <f>SUM('Школы БУ'!M172+'Школы АУ'!M172)</f>
        <v>0</v>
      </c>
      <c r="N172" s="33">
        <f>SUM('Школы БУ'!N172+'Школы АУ'!N172)</f>
        <v>0</v>
      </c>
      <c r="O172" s="33">
        <f>SUM('Школы БУ'!O172+'Школы АУ'!O172)</f>
        <v>0</v>
      </c>
      <c r="P172" s="33">
        <f>SUM('Школы БУ'!P172+'Школы АУ'!P172)</f>
        <v>0</v>
      </c>
      <c r="Q172" s="33">
        <f>SUM('Школы БУ'!Q172+'Школы АУ'!Q172)</f>
        <v>0</v>
      </c>
      <c r="R172" s="33">
        <f>SUM('Школы БУ'!R172+'Школы АУ'!R172)</f>
        <v>0</v>
      </c>
      <c r="S172" s="33">
        <f>SUM('Школы БУ'!S172+'Школы АУ'!S172)</f>
        <v>0</v>
      </c>
      <c r="T172" s="33">
        <f>SUM('Школы БУ'!T172+'Школы АУ'!T172)</f>
        <v>0</v>
      </c>
    </row>
    <row r="173" spans="1:20" s="22" customFormat="1" ht="33" hidden="1" x14ac:dyDescent="0.25">
      <c r="A173" s="52" t="s">
        <v>194</v>
      </c>
      <c r="B173" s="28" t="s">
        <v>195</v>
      </c>
      <c r="C173" s="55"/>
      <c r="D173" s="33">
        <f t="shared" si="53"/>
        <v>0</v>
      </c>
      <c r="E173" s="33">
        <f t="shared" si="54"/>
        <v>0</v>
      </c>
      <c r="F173" s="33"/>
      <c r="G173" s="33">
        <f>SUM('Школы БУ'!G173+'Школы АУ'!G173)</f>
        <v>0</v>
      </c>
      <c r="H173" s="33"/>
      <c r="I173" s="33">
        <f>SUM('Школы БУ'!I173+'Школы АУ'!I173)</f>
        <v>0</v>
      </c>
      <c r="J173" s="33"/>
      <c r="K173" s="33">
        <f>SUM('Школы БУ'!K173+'Школы АУ'!K173)</f>
        <v>0</v>
      </c>
      <c r="L173" s="33"/>
      <c r="M173" s="33">
        <f>SUM('Школы БУ'!M173+'Школы АУ'!M173)</f>
        <v>0</v>
      </c>
      <c r="N173" s="33"/>
      <c r="O173" s="33">
        <f>SUM('Школы БУ'!O173+'Школы АУ'!O173)</f>
        <v>0</v>
      </c>
      <c r="P173" s="33"/>
      <c r="Q173" s="33">
        <f>SUM('Школы БУ'!Q173+'Школы АУ'!Q173)</f>
        <v>0</v>
      </c>
      <c r="R173" s="33"/>
      <c r="S173" s="33">
        <f>SUM('Школы БУ'!S173+'Школы АУ'!S173)</f>
        <v>0</v>
      </c>
      <c r="T173" s="33">
        <f>SUM('Школы БУ'!T173+'Школы АУ'!T173)</f>
        <v>0</v>
      </c>
    </row>
    <row r="174" spans="1:20" s="36" customFormat="1" ht="34.5" x14ac:dyDescent="0.25">
      <c r="A174" s="53" t="s">
        <v>33</v>
      </c>
      <c r="B174" s="48" t="s">
        <v>34</v>
      </c>
      <c r="C174" s="71"/>
      <c r="D174" s="25">
        <f t="shared" ref="D174:T174" si="57">SUM(D175:D179)</f>
        <v>13238100</v>
      </c>
      <c r="E174" s="25">
        <f t="shared" si="57"/>
        <v>3906363.92</v>
      </c>
      <c r="F174" s="25"/>
      <c r="G174" s="25">
        <f t="shared" si="57"/>
        <v>13238100</v>
      </c>
      <c r="H174" s="25">
        <f t="shared" si="57"/>
        <v>3906363.92</v>
      </c>
      <c r="I174" s="25">
        <f t="shared" si="57"/>
        <v>0</v>
      </c>
      <c r="J174" s="25">
        <f t="shared" si="57"/>
        <v>0</v>
      </c>
      <c r="K174" s="25">
        <f t="shared" si="57"/>
        <v>0</v>
      </c>
      <c r="L174" s="25">
        <f t="shared" si="57"/>
        <v>0</v>
      </c>
      <c r="M174" s="25">
        <f t="shared" si="57"/>
        <v>0</v>
      </c>
      <c r="N174" s="25">
        <f t="shared" si="57"/>
        <v>0</v>
      </c>
      <c r="O174" s="25">
        <f t="shared" si="57"/>
        <v>0</v>
      </c>
      <c r="P174" s="25">
        <f t="shared" si="57"/>
        <v>0</v>
      </c>
      <c r="Q174" s="25">
        <f t="shared" si="57"/>
        <v>0</v>
      </c>
      <c r="R174" s="25">
        <f t="shared" si="57"/>
        <v>0</v>
      </c>
      <c r="S174" s="25">
        <f t="shared" si="57"/>
        <v>0</v>
      </c>
      <c r="T174" s="25">
        <f t="shared" si="57"/>
        <v>0</v>
      </c>
    </row>
    <row r="175" spans="1:20" s="22" customFormat="1" ht="16.5" x14ac:dyDescent="0.25">
      <c r="A175" s="52" t="s">
        <v>196</v>
      </c>
      <c r="B175" s="28" t="s">
        <v>197</v>
      </c>
      <c r="C175" s="55"/>
      <c r="D175" s="33">
        <f t="shared" si="53"/>
        <v>0</v>
      </c>
      <c r="E175" s="33">
        <f t="shared" si="54"/>
        <v>0</v>
      </c>
      <c r="F175" s="33"/>
      <c r="G175" s="33">
        <f>SUM('Школы БУ'!G175+'Школы АУ'!G175)</f>
        <v>0</v>
      </c>
      <c r="H175" s="33">
        <f>SUM('Школы БУ'!H175+'Школы АУ'!H175)</f>
        <v>0</v>
      </c>
      <c r="I175" s="33">
        <f>SUM('Школы БУ'!I175+'Школы АУ'!I175)</f>
        <v>0</v>
      </c>
      <c r="J175" s="33">
        <f>SUM('Школы БУ'!J175+'Школы АУ'!J175)</f>
        <v>0</v>
      </c>
      <c r="K175" s="33">
        <f>SUM('Школы БУ'!K175+'Школы АУ'!K175)</f>
        <v>0</v>
      </c>
      <c r="L175" s="33">
        <f>SUM('Школы БУ'!L175+'Школы АУ'!L175)</f>
        <v>0</v>
      </c>
      <c r="M175" s="33">
        <f>SUM('Школы БУ'!M175+'Школы АУ'!M175)</f>
        <v>0</v>
      </c>
      <c r="N175" s="33">
        <f>SUM('Школы БУ'!N175+'Школы АУ'!N175)</f>
        <v>0</v>
      </c>
      <c r="O175" s="33">
        <f>SUM('Школы БУ'!O175+'Школы АУ'!O175)</f>
        <v>0</v>
      </c>
      <c r="P175" s="33">
        <f>SUM('Школы БУ'!P175+'Школы АУ'!P175)</f>
        <v>0</v>
      </c>
      <c r="Q175" s="33">
        <f>SUM('Школы БУ'!Q175+'Школы АУ'!Q175)</f>
        <v>0</v>
      </c>
      <c r="R175" s="33">
        <f>SUM('Школы БУ'!R175+'Школы АУ'!R175)</f>
        <v>0</v>
      </c>
      <c r="S175" s="33">
        <f>SUM('Школы БУ'!S175+'Школы АУ'!S175)</f>
        <v>0</v>
      </c>
      <c r="T175" s="33">
        <f>SUM('Школы БУ'!T175+'Школы АУ'!T175)</f>
        <v>0</v>
      </c>
    </row>
    <row r="176" spans="1:20" s="22" customFormat="1" ht="16.5" x14ac:dyDescent="0.25">
      <c r="A176" s="52"/>
      <c r="B176" s="28" t="s">
        <v>47</v>
      </c>
      <c r="C176" s="55">
        <v>211</v>
      </c>
      <c r="D176" s="33">
        <f t="shared" si="53"/>
        <v>9816150</v>
      </c>
      <c r="E176" s="33">
        <f t="shared" si="54"/>
        <v>2859594.92</v>
      </c>
      <c r="F176" s="33"/>
      <c r="G176" s="33">
        <f>SUM('Школы БУ'!G176+'Школы АУ'!G176)</f>
        <v>9816150</v>
      </c>
      <c r="H176" s="33">
        <f>SUM('Школы БУ'!H176+'Школы АУ'!H176)</f>
        <v>2859594.92</v>
      </c>
      <c r="I176" s="33">
        <f>SUM('Школы БУ'!I176+'Школы АУ'!I176)</f>
        <v>0</v>
      </c>
      <c r="J176" s="33">
        <f>SUM('Школы БУ'!J176+'Школы АУ'!J176)</f>
        <v>0</v>
      </c>
      <c r="K176" s="33">
        <f>SUM('Школы БУ'!K176+'Школы АУ'!K176)</f>
        <v>0</v>
      </c>
      <c r="L176" s="33">
        <f>SUM('Школы БУ'!L176+'Школы АУ'!L176)</f>
        <v>0</v>
      </c>
      <c r="M176" s="33">
        <f>SUM('Школы БУ'!M176+'Школы АУ'!M176)</f>
        <v>0</v>
      </c>
      <c r="N176" s="33">
        <f>SUM('Школы БУ'!N176+'Школы АУ'!N176)</f>
        <v>0</v>
      </c>
      <c r="O176" s="33">
        <f>SUM('Школы БУ'!O176+'Школы АУ'!O176)</f>
        <v>0</v>
      </c>
      <c r="P176" s="33">
        <f>SUM('Школы БУ'!P176+'Школы АУ'!P176)</f>
        <v>0</v>
      </c>
      <c r="Q176" s="33">
        <f>SUM('Школы БУ'!Q176+'Школы АУ'!Q176)</f>
        <v>0</v>
      </c>
      <c r="R176" s="33">
        <f>SUM('Школы БУ'!R176+'Школы АУ'!R176)</f>
        <v>0</v>
      </c>
      <c r="S176" s="33">
        <f>SUM('Школы БУ'!S176+'Школы АУ'!S176)</f>
        <v>0</v>
      </c>
      <c r="T176" s="33">
        <f>SUM('Школы БУ'!T176+'Школы АУ'!T176)</f>
        <v>0</v>
      </c>
    </row>
    <row r="177" spans="1:20" s="22" customFormat="1" ht="16.5" x14ac:dyDescent="0.25">
      <c r="A177" s="52"/>
      <c r="B177" s="28" t="s">
        <v>198</v>
      </c>
      <c r="C177" s="55">
        <v>213</v>
      </c>
      <c r="D177" s="33">
        <f t="shared" si="53"/>
        <v>2921950</v>
      </c>
      <c r="E177" s="33">
        <f t="shared" si="54"/>
        <v>1046769</v>
      </c>
      <c r="F177" s="33"/>
      <c r="G177" s="33">
        <f>SUM('Школы БУ'!G177+'Школы АУ'!G177)</f>
        <v>2921950</v>
      </c>
      <c r="H177" s="33">
        <f>SUM('Школы БУ'!H177+'Школы АУ'!H177)</f>
        <v>1046769</v>
      </c>
      <c r="I177" s="33">
        <f>SUM('Школы БУ'!I177+'Школы АУ'!I177)</f>
        <v>0</v>
      </c>
      <c r="J177" s="33">
        <f>SUM('Школы БУ'!J177+'Школы АУ'!J177)</f>
        <v>0</v>
      </c>
      <c r="K177" s="33">
        <f>SUM('Школы БУ'!K177+'Школы АУ'!K177)</f>
        <v>0</v>
      </c>
      <c r="L177" s="33">
        <f>SUM('Школы БУ'!L177+'Школы АУ'!L177)</f>
        <v>0</v>
      </c>
      <c r="M177" s="33">
        <f>SUM('Школы БУ'!M177+'Школы АУ'!M177)</f>
        <v>0</v>
      </c>
      <c r="N177" s="33">
        <f>SUM('Школы БУ'!N177+'Школы АУ'!N177)</f>
        <v>0</v>
      </c>
      <c r="O177" s="33">
        <f>SUM('Школы БУ'!O177+'Школы АУ'!O177)</f>
        <v>0</v>
      </c>
      <c r="P177" s="33">
        <f>SUM('Школы БУ'!P177+'Школы АУ'!P177)</f>
        <v>0</v>
      </c>
      <c r="Q177" s="33">
        <f>SUM('Школы БУ'!Q177+'Школы АУ'!Q177)</f>
        <v>0</v>
      </c>
      <c r="R177" s="33">
        <f>SUM('Школы БУ'!R177+'Школы АУ'!R177)</f>
        <v>0</v>
      </c>
      <c r="S177" s="33">
        <f>SUM('Школы БУ'!S177+'Школы АУ'!S177)</f>
        <v>0</v>
      </c>
      <c r="T177" s="33">
        <f>SUM('Школы БУ'!T177+'Школы АУ'!T177)</f>
        <v>0</v>
      </c>
    </row>
    <row r="178" spans="1:20" s="22" customFormat="1" ht="33" x14ac:dyDescent="0.25">
      <c r="A178" s="52" t="s">
        <v>199</v>
      </c>
      <c r="B178" s="28" t="s">
        <v>200</v>
      </c>
      <c r="C178" s="55">
        <v>310</v>
      </c>
      <c r="D178" s="33">
        <f t="shared" si="53"/>
        <v>500000</v>
      </c>
      <c r="E178" s="33">
        <f t="shared" si="54"/>
        <v>0</v>
      </c>
      <c r="F178" s="33"/>
      <c r="G178" s="33">
        <f>SUM('Школы БУ'!G178+'Школы АУ'!G178)</f>
        <v>500000</v>
      </c>
      <c r="H178" s="33">
        <f>SUM('Школы БУ'!H178+'Школы АУ'!H178)</f>
        <v>0</v>
      </c>
      <c r="I178" s="33">
        <f>SUM('Школы БУ'!I178+'Школы АУ'!I178)</f>
        <v>0</v>
      </c>
      <c r="J178" s="33">
        <f>SUM('Школы БУ'!J178+'Школы АУ'!J178)</f>
        <v>0</v>
      </c>
      <c r="K178" s="33">
        <f>SUM('Школы БУ'!K178+'Школы АУ'!K178)</f>
        <v>0</v>
      </c>
      <c r="L178" s="33">
        <f>SUM('Школы БУ'!L178+'Школы АУ'!L178)</f>
        <v>0</v>
      </c>
      <c r="M178" s="33">
        <f>SUM('Школы БУ'!M178+'Школы АУ'!M178)</f>
        <v>0</v>
      </c>
      <c r="N178" s="33">
        <f>SUM('Школы БУ'!N178+'Школы АУ'!N178)</f>
        <v>0</v>
      </c>
      <c r="O178" s="33">
        <f>SUM('Школы БУ'!O178+'Школы АУ'!O178)</f>
        <v>0</v>
      </c>
      <c r="P178" s="33">
        <f>SUM('Школы БУ'!P178+'Школы АУ'!P178)</f>
        <v>0</v>
      </c>
      <c r="Q178" s="33">
        <f>SUM('Школы БУ'!Q178+'Школы АУ'!Q178)</f>
        <v>0</v>
      </c>
      <c r="R178" s="33">
        <f>SUM('Школы БУ'!R178+'Школы АУ'!R178)</f>
        <v>0</v>
      </c>
      <c r="S178" s="33">
        <f>SUM('Школы БУ'!S178+'Школы АУ'!S178)</f>
        <v>0</v>
      </c>
      <c r="T178" s="33">
        <f>SUM('Школы БУ'!T178+'Школы АУ'!T178)</f>
        <v>0</v>
      </c>
    </row>
    <row r="179" spans="1:20" s="22" customFormat="1" ht="33" hidden="1" x14ac:dyDescent="0.25">
      <c r="A179" s="52" t="s">
        <v>201</v>
      </c>
      <c r="B179" s="28" t="s">
        <v>202</v>
      </c>
      <c r="C179" s="55">
        <v>340</v>
      </c>
      <c r="D179" s="33">
        <f t="shared" si="53"/>
        <v>0</v>
      </c>
      <c r="E179" s="33">
        <f t="shared" si="54"/>
        <v>0</v>
      </c>
      <c r="F179" s="33"/>
      <c r="G179" s="33">
        <f>SUM('Школы БУ'!G179+'Школы АУ'!G179)</f>
        <v>0</v>
      </c>
      <c r="H179" s="33"/>
      <c r="I179" s="33">
        <f>SUM('Школы БУ'!I179+'Школы АУ'!I179)</f>
        <v>0</v>
      </c>
      <c r="J179" s="33"/>
      <c r="K179" s="33">
        <f>SUM('Школы БУ'!K179+'Школы АУ'!K179)</f>
        <v>0</v>
      </c>
      <c r="L179" s="33"/>
      <c r="M179" s="33">
        <f>SUM('Школы БУ'!M179+'Школы АУ'!M179)</f>
        <v>0</v>
      </c>
      <c r="N179" s="33"/>
      <c r="O179" s="33">
        <f>SUM('Школы БУ'!O179+'Школы АУ'!O179)</f>
        <v>0</v>
      </c>
      <c r="P179" s="33"/>
      <c r="Q179" s="33">
        <f>SUM('Школы БУ'!Q179+'Школы АУ'!Q179)</f>
        <v>0</v>
      </c>
      <c r="R179" s="33"/>
      <c r="S179" s="33">
        <f>SUM('Школы БУ'!S179+'Школы АУ'!S179)</f>
        <v>0</v>
      </c>
      <c r="T179" s="33">
        <f>SUM('Школы БУ'!T179+'Школы АУ'!T179)</f>
        <v>0</v>
      </c>
    </row>
    <row r="180" spans="1:20" s="37" customFormat="1" ht="51.75" hidden="1" x14ac:dyDescent="0.25">
      <c r="A180" s="47" t="s">
        <v>35</v>
      </c>
      <c r="B180" s="62" t="s">
        <v>36</v>
      </c>
      <c r="C180" s="72"/>
      <c r="D180" s="33">
        <f t="shared" si="53"/>
        <v>0</v>
      </c>
      <c r="E180" s="33">
        <f t="shared" si="54"/>
        <v>0</v>
      </c>
      <c r="F180" s="33"/>
      <c r="G180" s="33">
        <f>SUM('Школы БУ'!G180+'Школы АУ'!G180)</f>
        <v>0</v>
      </c>
      <c r="H180" s="34"/>
      <c r="I180" s="34">
        <f t="shared" ref="I180:S180" si="58">SUM(I181:I185)</f>
        <v>0</v>
      </c>
      <c r="J180" s="34"/>
      <c r="K180" s="34">
        <f t="shared" si="58"/>
        <v>0</v>
      </c>
      <c r="L180" s="34"/>
      <c r="M180" s="34">
        <f t="shared" si="58"/>
        <v>0</v>
      </c>
      <c r="N180" s="34"/>
      <c r="O180" s="34">
        <f t="shared" si="58"/>
        <v>0</v>
      </c>
      <c r="P180" s="34"/>
      <c r="Q180" s="34">
        <f t="shared" si="58"/>
        <v>0</v>
      </c>
      <c r="R180" s="34"/>
      <c r="S180" s="34">
        <f t="shared" si="58"/>
        <v>0</v>
      </c>
      <c r="T180" s="34">
        <f t="shared" ref="T180" si="59">SUM(T181:T185)</f>
        <v>0</v>
      </c>
    </row>
    <row r="181" spans="1:20" s="6" customFormat="1" ht="33" hidden="1" x14ac:dyDescent="0.25">
      <c r="A181" s="73" t="s">
        <v>203</v>
      </c>
      <c r="B181" s="64" t="s">
        <v>204</v>
      </c>
      <c r="C181" s="69">
        <v>222</v>
      </c>
      <c r="D181" s="33">
        <f t="shared" si="53"/>
        <v>0</v>
      </c>
      <c r="E181" s="33">
        <f t="shared" si="54"/>
        <v>0</v>
      </c>
      <c r="F181" s="33"/>
      <c r="G181" s="33">
        <f>SUM('Школы БУ'!G181+'Школы АУ'!G181)</f>
        <v>0</v>
      </c>
      <c r="H181" s="33"/>
      <c r="I181" s="33">
        <f>SUM('Школы БУ'!I181+'Школы АУ'!I181)</f>
        <v>0</v>
      </c>
      <c r="J181" s="33"/>
      <c r="K181" s="33">
        <f>SUM('Школы БУ'!K181+'Школы АУ'!K181)</f>
        <v>0</v>
      </c>
      <c r="L181" s="33"/>
      <c r="M181" s="33">
        <f>SUM('Школы БУ'!M181+'Школы АУ'!M181)</f>
        <v>0</v>
      </c>
      <c r="N181" s="33"/>
      <c r="O181" s="33">
        <f>SUM('Школы БУ'!O181+'Школы АУ'!O181)</f>
        <v>0</v>
      </c>
      <c r="P181" s="33"/>
      <c r="Q181" s="33">
        <f>SUM('Школы БУ'!Q181+'Школы АУ'!Q181)</f>
        <v>0</v>
      </c>
      <c r="R181" s="33"/>
      <c r="S181" s="33">
        <f>SUM('Школы БУ'!S181+'Школы АУ'!S181)</f>
        <v>0</v>
      </c>
      <c r="T181" s="33">
        <f>SUM('Школы БУ'!T181+'Школы АУ'!T181)</f>
        <v>0</v>
      </c>
    </row>
    <row r="182" spans="1:20" s="6" customFormat="1" ht="33" hidden="1" x14ac:dyDescent="0.25">
      <c r="A182" s="73" t="s">
        <v>203</v>
      </c>
      <c r="B182" s="64" t="s">
        <v>204</v>
      </c>
      <c r="C182" s="69">
        <v>226</v>
      </c>
      <c r="D182" s="33">
        <f t="shared" si="53"/>
        <v>0</v>
      </c>
      <c r="E182" s="33">
        <f t="shared" si="54"/>
        <v>0</v>
      </c>
      <c r="F182" s="33"/>
      <c r="G182" s="33">
        <f>SUM('Школы БУ'!G182+'Школы АУ'!G182)</f>
        <v>0</v>
      </c>
      <c r="H182" s="33"/>
      <c r="I182" s="33">
        <f>SUM('Школы БУ'!I182+'Школы АУ'!I182)</f>
        <v>0</v>
      </c>
      <c r="J182" s="33"/>
      <c r="K182" s="33">
        <f>SUM('Школы БУ'!K182+'Школы АУ'!K182)</f>
        <v>0</v>
      </c>
      <c r="L182" s="33"/>
      <c r="M182" s="33">
        <f>SUM('Школы БУ'!M182+'Школы АУ'!M182)</f>
        <v>0</v>
      </c>
      <c r="N182" s="33"/>
      <c r="O182" s="33">
        <f>SUM('Школы БУ'!O182+'Школы АУ'!O182)</f>
        <v>0</v>
      </c>
      <c r="P182" s="33"/>
      <c r="Q182" s="33">
        <f>SUM('Школы БУ'!Q182+'Школы АУ'!Q182)</f>
        <v>0</v>
      </c>
      <c r="R182" s="33"/>
      <c r="S182" s="33">
        <f>SUM('Школы БУ'!S182+'Школы АУ'!S182)</f>
        <v>0</v>
      </c>
      <c r="T182" s="33">
        <f>SUM('Школы БУ'!T182+'Школы АУ'!T182)</f>
        <v>0</v>
      </c>
    </row>
    <row r="183" spans="1:20" s="6" customFormat="1" ht="33" hidden="1" x14ac:dyDescent="0.25">
      <c r="A183" s="73" t="s">
        <v>203</v>
      </c>
      <c r="B183" s="64" t="s">
        <v>204</v>
      </c>
      <c r="C183" s="69">
        <v>290</v>
      </c>
      <c r="D183" s="33">
        <f t="shared" si="53"/>
        <v>0</v>
      </c>
      <c r="E183" s="33">
        <f t="shared" si="54"/>
        <v>0</v>
      </c>
      <c r="F183" s="33"/>
      <c r="G183" s="33">
        <f>SUM('Школы БУ'!G183+'Школы АУ'!G183)</f>
        <v>0</v>
      </c>
      <c r="H183" s="33"/>
      <c r="I183" s="33">
        <f>SUM('Школы БУ'!I183+'Школы АУ'!I183)</f>
        <v>0</v>
      </c>
      <c r="J183" s="33"/>
      <c r="K183" s="33">
        <f>SUM('Школы БУ'!K183+'Школы АУ'!K183)</f>
        <v>0</v>
      </c>
      <c r="L183" s="33"/>
      <c r="M183" s="33">
        <f>SUM('Школы БУ'!M183+'Школы АУ'!M183)</f>
        <v>0</v>
      </c>
      <c r="N183" s="33"/>
      <c r="O183" s="33">
        <f>SUM('Школы БУ'!O183+'Школы АУ'!O183)</f>
        <v>0</v>
      </c>
      <c r="P183" s="33"/>
      <c r="Q183" s="33">
        <f>SUM('Школы БУ'!Q183+'Школы АУ'!Q183)</f>
        <v>0</v>
      </c>
      <c r="R183" s="33"/>
      <c r="S183" s="33">
        <f>SUM('Школы БУ'!S183+'Школы АУ'!S183)</f>
        <v>0</v>
      </c>
      <c r="T183" s="33">
        <f>SUM('Школы БУ'!T183+'Школы АУ'!T183)</f>
        <v>0</v>
      </c>
    </row>
    <row r="184" spans="1:20" s="6" customFormat="1" ht="33" hidden="1" x14ac:dyDescent="0.25">
      <c r="A184" s="73" t="s">
        <v>203</v>
      </c>
      <c r="B184" s="64" t="s">
        <v>204</v>
      </c>
      <c r="C184" s="69">
        <v>310</v>
      </c>
      <c r="D184" s="33">
        <f t="shared" si="53"/>
        <v>0</v>
      </c>
      <c r="E184" s="33">
        <f t="shared" si="54"/>
        <v>0</v>
      </c>
      <c r="F184" s="33"/>
      <c r="G184" s="33">
        <f>SUM('Школы БУ'!G184+'Школы АУ'!G184)</f>
        <v>0</v>
      </c>
      <c r="H184" s="33"/>
      <c r="I184" s="33">
        <f>SUM('Школы БУ'!I184+'Школы АУ'!I184)</f>
        <v>0</v>
      </c>
      <c r="J184" s="33"/>
      <c r="K184" s="33">
        <f>SUM('Школы БУ'!K184+'Школы АУ'!K184)</f>
        <v>0</v>
      </c>
      <c r="L184" s="33"/>
      <c r="M184" s="33">
        <f>SUM('Школы БУ'!M184+'Школы АУ'!M184)</f>
        <v>0</v>
      </c>
      <c r="N184" s="33"/>
      <c r="O184" s="33">
        <f>SUM('Школы БУ'!O184+'Школы АУ'!O184)</f>
        <v>0</v>
      </c>
      <c r="P184" s="33"/>
      <c r="Q184" s="33">
        <f>SUM('Школы БУ'!Q184+'Школы АУ'!Q184)</f>
        <v>0</v>
      </c>
      <c r="R184" s="33"/>
      <c r="S184" s="33">
        <f>SUM('Школы БУ'!S184+'Школы АУ'!S184)</f>
        <v>0</v>
      </c>
      <c r="T184" s="33">
        <f>SUM('Школы БУ'!T184+'Школы АУ'!T184)</f>
        <v>0</v>
      </c>
    </row>
    <row r="185" spans="1:20" s="6" customFormat="1" ht="33" hidden="1" x14ac:dyDescent="0.25">
      <c r="A185" s="73" t="s">
        <v>203</v>
      </c>
      <c r="B185" s="64" t="s">
        <v>204</v>
      </c>
      <c r="C185" s="69">
        <v>340</v>
      </c>
      <c r="D185" s="33">
        <f t="shared" si="53"/>
        <v>0</v>
      </c>
      <c r="E185" s="33">
        <f t="shared" si="54"/>
        <v>0</v>
      </c>
      <c r="F185" s="33"/>
      <c r="G185" s="33">
        <f>SUM('Школы БУ'!G185+'Школы АУ'!G185)</f>
        <v>0</v>
      </c>
      <c r="H185" s="33"/>
      <c r="I185" s="33">
        <f>SUM('Школы БУ'!I185+'Школы АУ'!I185)</f>
        <v>0</v>
      </c>
      <c r="J185" s="33"/>
      <c r="K185" s="33">
        <f>SUM('Школы БУ'!K185+'Школы АУ'!K185)</f>
        <v>0</v>
      </c>
      <c r="L185" s="33"/>
      <c r="M185" s="33">
        <f>SUM('Школы БУ'!M185+'Школы АУ'!M185)</f>
        <v>0</v>
      </c>
      <c r="N185" s="33"/>
      <c r="O185" s="33">
        <f>SUM('Школы БУ'!O185+'Школы АУ'!O185)</f>
        <v>0</v>
      </c>
      <c r="P185" s="33"/>
      <c r="Q185" s="33">
        <f>SUM('Школы БУ'!Q185+'Школы АУ'!Q185)</f>
        <v>0</v>
      </c>
      <c r="R185" s="33"/>
      <c r="S185" s="33">
        <f>SUM('Школы БУ'!S185+'Школы АУ'!S185)</f>
        <v>0</v>
      </c>
      <c r="T185" s="33">
        <f>SUM('Школы БУ'!T185+'Школы АУ'!T185)</f>
        <v>0</v>
      </c>
    </row>
    <row r="186" spans="1:20" s="32" customFormat="1" ht="17.25" hidden="1" x14ac:dyDescent="0.25">
      <c r="A186" s="74" t="s">
        <v>205</v>
      </c>
      <c r="B186" s="62" t="s">
        <v>37</v>
      </c>
      <c r="C186" s="49"/>
      <c r="D186" s="33">
        <f t="shared" si="53"/>
        <v>0</v>
      </c>
      <c r="E186" s="33">
        <f t="shared" si="54"/>
        <v>0</v>
      </c>
      <c r="F186" s="33"/>
      <c r="G186" s="33">
        <f>SUM('Школы БУ'!G186+'Школы АУ'!G186)</f>
        <v>0</v>
      </c>
      <c r="H186" s="33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</row>
    <row r="187" spans="1:20" s="18" customFormat="1" ht="17.25" x14ac:dyDescent="0.25">
      <c r="A187" s="61" t="s">
        <v>206</v>
      </c>
      <c r="B187" s="62" t="s">
        <v>38</v>
      </c>
      <c r="C187" s="49"/>
      <c r="D187" s="34">
        <f t="shared" ref="D187:R187" si="60">SUM(D188+D189+D190+D191+D192+D193+D197+D198+D199+D200+D201+D202+D203+D205)+D204</f>
        <v>159283753.43000001</v>
      </c>
      <c r="E187" s="34">
        <f t="shared" si="60"/>
        <v>58154976.129999995</v>
      </c>
      <c r="F187" s="34"/>
      <c r="G187" s="34">
        <f t="shared" si="60"/>
        <v>0</v>
      </c>
      <c r="H187" s="34">
        <f t="shared" si="60"/>
        <v>0</v>
      </c>
      <c r="I187" s="34">
        <f t="shared" si="60"/>
        <v>0</v>
      </c>
      <c r="J187" s="34">
        <f t="shared" si="60"/>
        <v>0</v>
      </c>
      <c r="K187" s="34">
        <f t="shared" si="60"/>
        <v>0</v>
      </c>
      <c r="L187" s="34">
        <f t="shared" si="60"/>
        <v>0</v>
      </c>
      <c r="M187" s="34">
        <f t="shared" si="60"/>
        <v>0</v>
      </c>
      <c r="N187" s="34">
        <f t="shared" si="60"/>
        <v>0</v>
      </c>
      <c r="O187" s="34">
        <f t="shared" si="60"/>
        <v>0</v>
      </c>
      <c r="P187" s="34">
        <f t="shared" si="60"/>
        <v>0</v>
      </c>
      <c r="Q187" s="34">
        <f t="shared" si="60"/>
        <v>0</v>
      </c>
      <c r="R187" s="34">
        <f t="shared" si="60"/>
        <v>0</v>
      </c>
      <c r="S187" s="34">
        <f>SUM(S188+S189+S190+S191+S192+S193+S197+S198+S199+S200+S201+S202+S203+S205)+S204</f>
        <v>159283753.43000001</v>
      </c>
      <c r="T187" s="34">
        <f>SUM(T188+T189+T190+T191+T192+T193+T197+T198+T199+T200+T201+T202+T203+T205)+T204</f>
        <v>58154976.129999995</v>
      </c>
    </row>
    <row r="188" spans="1:20" s="6" customFormat="1" ht="16.5" x14ac:dyDescent="0.25">
      <c r="A188" s="63" t="s">
        <v>207</v>
      </c>
      <c r="B188" s="28" t="s">
        <v>47</v>
      </c>
      <c r="C188" s="51">
        <v>211</v>
      </c>
      <c r="D188" s="33">
        <f t="shared" si="53"/>
        <v>29757978.98</v>
      </c>
      <c r="E188" s="33">
        <f t="shared" si="54"/>
        <v>11305027.579999998</v>
      </c>
      <c r="F188" s="33"/>
      <c r="G188" s="33">
        <f>SUM('Школы БУ'!G188+'Школы АУ'!G188)</f>
        <v>0</v>
      </c>
      <c r="H188" s="33">
        <f>SUM('Школы БУ'!H188+'Школы АУ'!H188)</f>
        <v>0</v>
      </c>
      <c r="I188" s="33">
        <f>SUM('Школы БУ'!I188+'Школы АУ'!I188)</f>
        <v>0</v>
      </c>
      <c r="J188" s="33">
        <f>SUM('Школы БУ'!J188+'Школы АУ'!J188)</f>
        <v>0</v>
      </c>
      <c r="K188" s="33">
        <f>SUM('Школы БУ'!K188+'Школы АУ'!K188)</f>
        <v>0</v>
      </c>
      <c r="L188" s="33">
        <f>SUM('Школы БУ'!L188+'Школы АУ'!L188)</f>
        <v>0</v>
      </c>
      <c r="M188" s="33">
        <f>SUM('Школы БУ'!M188+'Школы АУ'!M188)</f>
        <v>0</v>
      </c>
      <c r="N188" s="33">
        <f>SUM('Школы БУ'!N188+'Школы АУ'!N188)</f>
        <v>0</v>
      </c>
      <c r="O188" s="33">
        <f>SUM('Школы БУ'!O188+'Школы АУ'!O188)</f>
        <v>0</v>
      </c>
      <c r="P188" s="33">
        <f>SUM('Школы БУ'!P188+'Школы АУ'!P188)</f>
        <v>0</v>
      </c>
      <c r="Q188" s="33">
        <f>SUM('Школы БУ'!Q188+'Школы АУ'!Q188)</f>
        <v>0</v>
      </c>
      <c r="R188" s="33">
        <f>SUM('Школы БУ'!R188+'Школы АУ'!R188)</f>
        <v>0</v>
      </c>
      <c r="S188" s="33">
        <f>SUM('Школы БУ'!S188+'Школы АУ'!S188)</f>
        <v>29757978.98</v>
      </c>
      <c r="T188" s="33">
        <f>SUM('Школы БУ'!T188+'Школы АУ'!T188)</f>
        <v>11305027.579999998</v>
      </c>
    </row>
    <row r="189" spans="1:20" s="6" customFormat="1" ht="16.5" x14ac:dyDescent="0.25">
      <c r="A189" s="63" t="s">
        <v>208</v>
      </c>
      <c r="B189" s="28" t="s">
        <v>49</v>
      </c>
      <c r="C189" s="51">
        <v>212</v>
      </c>
      <c r="D189" s="33">
        <f t="shared" si="53"/>
        <v>27000</v>
      </c>
      <c r="E189" s="33">
        <f t="shared" si="54"/>
        <v>-26006</v>
      </c>
      <c r="F189" s="33"/>
      <c r="G189" s="33">
        <f>SUM('Школы БУ'!G189+'Школы АУ'!G189)</f>
        <v>0</v>
      </c>
      <c r="H189" s="33">
        <f>SUM('Школы БУ'!H189+'Школы АУ'!H189)</f>
        <v>0</v>
      </c>
      <c r="I189" s="33">
        <f>SUM('Школы БУ'!I189+'Школы АУ'!I189)</f>
        <v>0</v>
      </c>
      <c r="J189" s="33">
        <f>SUM('Школы БУ'!J189+'Школы АУ'!J189)</f>
        <v>0</v>
      </c>
      <c r="K189" s="33">
        <f>SUM('Школы БУ'!K189+'Школы АУ'!K189)</f>
        <v>0</v>
      </c>
      <c r="L189" s="33">
        <f>SUM('Школы БУ'!L189+'Школы АУ'!L189)</f>
        <v>0</v>
      </c>
      <c r="M189" s="33">
        <f>SUM('Школы БУ'!M189+'Школы АУ'!M189)</f>
        <v>0</v>
      </c>
      <c r="N189" s="33">
        <f>SUM('Школы БУ'!N189+'Школы АУ'!N189)</f>
        <v>0</v>
      </c>
      <c r="O189" s="33">
        <f>SUM('Школы БУ'!O189+'Школы АУ'!O189)</f>
        <v>0</v>
      </c>
      <c r="P189" s="33">
        <f>SUM('Школы БУ'!P189+'Школы АУ'!P189)</f>
        <v>0</v>
      </c>
      <c r="Q189" s="33">
        <f>SUM('Школы БУ'!Q189+'Школы АУ'!Q189)</f>
        <v>0</v>
      </c>
      <c r="R189" s="33">
        <f>SUM('Школы БУ'!R189+'Школы АУ'!R189)</f>
        <v>0</v>
      </c>
      <c r="S189" s="33">
        <f>SUM('Школы БУ'!S189+'Школы АУ'!S189)</f>
        <v>27000</v>
      </c>
      <c r="T189" s="33">
        <f>SUM('Школы БУ'!T189+'Школы АУ'!T189)</f>
        <v>-26006</v>
      </c>
    </row>
    <row r="190" spans="1:20" s="6" customFormat="1" ht="16.5" x14ac:dyDescent="0.25">
      <c r="A190" s="63" t="s">
        <v>209</v>
      </c>
      <c r="B190" s="28" t="s">
        <v>51</v>
      </c>
      <c r="C190" s="51">
        <v>213</v>
      </c>
      <c r="D190" s="33">
        <f t="shared" si="53"/>
        <v>8771352.75</v>
      </c>
      <c r="E190" s="33">
        <f t="shared" si="54"/>
        <v>3030719.79</v>
      </c>
      <c r="F190" s="33"/>
      <c r="G190" s="33">
        <f>SUM('Школы БУ'!G190+'Школы АУ'!G190)</f>
        <v>0</v>
      </c>
      <c r="H190" s="33">
        <f>SUM('Школы БУ'!H190+'Школы АУ'!H190)</f>
        <v>0</v>
      </c>
      <c r="I190" s="33">
        <f>SUM('Школы БУ'!I190+'Школы АУ'!I190)</f>
        <v>0</v>
      </c>
      <c r="J190" s="33">
        <f>SUM('Школы БУ'!J190+'Школы АУ'!J190)</f>
        <v>0</v>
      </c>
      <c r="K190" s="33">
        <f>SUM('Школы БУ'!K190+'Школы АУ'!K190)</f>
        <v>0</v>
      </c>
      <c r="L190" s="33">
        <f>SUM('Школы БУ'!L190+'Школы АУ'!L190)</f>
        <v>0</v>
      </c>
      <c r="M190" s="33">
        <f>SUM('Школы БУ'!M190+'Школы АУ'!M190)</f>
        <v>0</v>
      </c>
      <c r="N190" s="33">
        <f>SUM('Школы БУ'!N190+'Школы АУ'!N190)</f>
        <v>0</v>
      </c>
      <c r="O190" s="33">
        <f>SUM('Школы БУ'!O190+'Школы АУ'!O190)</f>
        <v>0</v>
      </c>
      <c r="P190" s="33">
        <f>SUM('Школы БУ'!P190+'Школы АУ'!P190)</f>
        <v>0</v>
      </c>
      <c r="Q190" s="33">
        <f>SUM('Школы БУ'!Q190+'Школы АУ'!Q190)</f>
        <v>0</v>
      </c>
      <c r="R190" s="33">
        <f>SUM('Школы БУ'!R190+'Школы АУ'!R190)</f>
        <v>0</v>
      </c>
      <c r="S190" s="33">
        <f>SUM('Школы БУ'!S190+'Школы АУ'!S190)</f>
        <v>8771352.75</v>
      </c>
      <c r="T190" s="33">
        <f>SUM('Школы БУ'!T190+'Школы АУ'!T190)</f>
        <v>3030719.79</v>
      </c>
    </row>
    <row r="191" spans="1:20" s="6" customFormat="1" ht="16.5" x14ac:dyDescent="0.25">
      <c r="A191" s="63" t="s">
        <v>210</v>
      </c>
      <c r="B191" s="28" t="s">
        <v>53</v>
      </c>
      <c r="C191" s="51">
        <v>221</v>
      </c>
      <c r="D191" s="33">
        <f t="shared" si="53"/>
        <v>421924.82999999996</v>
      </c>
      <c r="E191" s="33">
        <f t="shared" si="54"/>
        <v>166202.16999999998</v>
      </c>
      <c r="F191" s="33"/>
      <c r="G191" s="33">
        <f>SUM('Школы БУ'!G191+'Школы АУ'!G191)</f>
        <v>0</v>
      </c>
      <c r="H191" s="33">
        <f>SUM('Школы БУ'!H191+'Школы АУ'!H191)</f>
        <v>0</v>
      </c>
      <c r="I191" s="33">
        <f>SUM('Школы БУ'!I191+'Школы АУ'!I191)</f>
        <v>0</v>
      </c>
      <c r="J191" s="33">
        <f>SUM('Школы БУ'!J191+'Школы АУ'!J191)</f>
        <v>0</v>
      </c>
      <c r="K191" s="33">
        <f>SUM('Школы БУ'!K191+'Школы АУ'!K191)</f>
        <v>0</v>
      </c>
      <c r="L191" s="33">
        <f>SUM('Школы БУ'!L191+'Школы АУ'!L191)</f>
        <v>0</v>
      </c>
      <c r="M191" s="33">
        <f>SUM('Школы БУ'!M191+'Школы АУ'!M191)</f>
        <v>0</v>
      </c>
      <c r="N191" s="33">
        <f>SUM('Школы БУ'!N191+'Школы АУ'!N191)</f>
        <v>0</v>
      </c>
      <c r="O191" s="33">
        <f>SUM('Школы БУ'!O191+'Школы АУ'!O191)</f>
        <v>0</v>
      </c>
      <c r="P191" s="33">
        <f>SUM('Школы БУ'!P191+'Школы АУ'!P191)</f>
        <v>0</v>
      </c>
      <c r="Q191" s="33">
        <f>SUM('Школы БУ'!Q191+'Школы АУ'!Q191)</f>
        <v>0</v>
      </c>
      <c r="R191" s="33">
        <f>SUM('Школы БУ'!R191+'Школы АУ'!R191)</f>
        <v>0</v>
      </c>
      <c r="S191" s="33">
        <f>SUM('Школы БУ'!S191+'Школы АУ'!S191)</f>
        <v>421924.82999999996</v>
      </c>
      <c r="T191" s="33">
        <f>SUM('Школы БУ'!T191+'Школы АУ'!T191)</f>
        <v>166202.16999999998</v>
      </c>
    </row>
    <row r="192" spans="1:20" s="6" customFormat="1" ht="16.5" x14ac:dyDescent="0.25">
      <c r="A192" s="63" t="s">
        <v>211</v>
      </c>
      <c r="B192" s="28" t="s">
        <v>55</v>
      </c>
      <c r="C192" s="51">
        <v>222</v>
      </c>
      <c r="D192" s="33">
        <f t="shared" si="53"/>
        <v>3212</v>
      </c>
      <c r="E192" s="33">
        <f t="shared" si="54"/>
        <v>15200</v>
      </c>
      <c r="F192" s="33"/>
      <c r="G192" s="33">
        <f>SUM('Школы БУ'!G192+'Школы АУ'!G192)</f>
        <v>0</v>
      </c>
      <c r="H192" s="33">
        <f>SUM('Школы БУ'!H192+'Школы АУ'!H192)</f>
        <v>0</v>
      </c>
      <c r="I192" s="33">
        <f>SUM('Школы БУ'!I192+'Школы АУ'!I192)</f>
        <v>0</v>
      </c>
      <c r="J192" s="33">
        <f>SUM('Школы БУ'!J192+'Школы АУ'!J192)</f>
        <v>0</v>
      </c>
      <c r="K192" s="33">
        <f>SUM('Школы БУ'!K192+'Школы АУ'!K192)</f>
        <v>0</v>
      </c>
      <c r="L192" s="33">
        <f>SUM('Школы БУ'!L192+'Школы АУ'!L192)</f>
        <v>0</v>
      </c>
      <c r="M192" s="33">
        <f>SUM('Школы БУ'!M192+'Школы АУ'!M192)</f>
        <v>0</v>
      </c>
      <c r="N192" s="33">
        <f>SUM('Школы БУ'!N192+'Школы АУ'!N192)</f>
        <v>0</v>
      </c>
      <c r="O192" s="33">
        <f>SUM('Школы БУ'!O192+'Школы АУ'!O192)</f>
        <v>0</v>
      </c>
      <c r="P192" s="33">
        <f>SUM('Школы БУ'!P192+'Школы АУ'!P192)</f>
        <v>0</v>
      </c>
      <c r="Q192" s="33">
        <f>SUM('Школы БУ'!Q192+'Школы АУ'!Q192)</f>
        <v>0</v>
      </c>
      <c r="R192" s="33">
        <f>SUM('Школы БУ'!R192+'Школы АУ'!R192)</f>
        <v>0</v>
      </c>
      <c r="S192" s="33">
        <f>SUM('Школы БУ'!S192+'Школы АУ'!S192)</f>
        <v>3212</v>
      </c>
      <c r="T192" s="33">
        <f>SUM('Школы БУ'!T192+'Школы АУ'!T192)</f>
        <v>15200</v>
      </c>
    </row>
    <row r="193" spans="1:20" s="6" customFormat="1" ht="16.5" x14ac:dyDescent="0.25">
      <c r="A193" s="63" t="s">
        <v>212</v>
      </c>
      <c r="B193" s="28" t="s">
        <v>57</v>
      </c>
      <c r="C193" s="51">
        <v>223</v>
      </c>
      <c r="D193" s="33">
        <f t="shared" si="53"/>
        <v>1523725.4300000002</v>
      </c>
      <c r="E193" s="33">
        <f t="shared" si="54"/>
        <v>447788.9</v>
      </c>
      <c r="F193" s="33"/>
      <c r="G193" s="33">
        <f>SUM('Школы БУ'!G193+'Школы АУ'!G193)</f>
        <v>0</v>
      </c>
      <c r="H193" s="33">
        <f>SUM('Школы БУ'!H193+'Школы АУ'!H193)</f>
        <v>0</v>
      </c>
      <c r="I193" s="33">
        <f>SUM('Школы БУ'!I193+'Школы АУ'!I193)</f>
        <v>0</v>
      </c>
      <c r="J193" s="33">
        <f>SUM('Школы БУ'!J193+'Школы АУ'!J193)</f>
        <v>0</v>
      </c>
      <c r="K193" s="33">
        <f>SUM('Школы БУ'!K193+'Школы АУ'!K193)</f>
        <v>0</v>
      </c>
      <c r="L193" s="33">
        <f>SUM('Школы БУ'!L193+'Школы АУ'!L193)</f>
        <v>0</v>
      </c>
      <c r="M193" s="33">
        <f>SUM('Школы БУ'!M193+'Школы АУ'!M193)</f>
        <v>0</v>
      </c>
      <c r="N193" s="33">
        <f>SUM('Школы БУ'!N193+'Школы АУ'!N193)</f>
        <v>0</v>
      </c>
      <c r="O193" s="33">
        <f>SUM('Школы БУ'!O193+'Школы АУ'!O193)</f>
        <v>0</v>
      </c>
      <c r="P193" s="33">
        <f>SUM('Школы БУ'!P193+'Школы АУ'!P193)</f>
        <v>0</v>
      </c>
      <c r="Q193" s="33">
        <f>SUM('Школы БУ'!Q193+'Школы АУ'!Q193)</f>
        <v>0</v>
      </c>
      <c r="R193" s="33">
        <f>SUM('Школы БУ'!R193+'Школы АУ'!R193)</f>
        <v>0</v>
      </c>
      <c r="S193" s="33">
        <f>SUM('Школы БУ'!S193+'Школы АУ'!S193)</f>
        <v>1523725.4300000002</v>
      </c>
      <c r="T193" s="33">
        <f>SUM('Школы БУ'!T193+'Школы АУ'!T193)</f>
        <v>447788.9</v>
      </c>
    </row>
    <row r="194" spans="1:20" s="6" customFormat="1" ht="16.5" x14ac:dyDescent="0.25">
      <c r="A194" s="63"/>
      <c r="B194" s="58" t="s">
        <v>213</v>
      </c>
      <c r="C194" s="51">
        <v>223</v>
      </c>
      <c r="D194" s="33">
        <f t="shared" si="53"/>
        <v>752701.31</v>
      </c>
      <c r="E194" s="33">
        <f t="shared" si="54"/>
        <v>222559.63</v>
      </c>
      <c r="F194" s="33"/>
      <c r="G194" s="33">
        <f>SUM('Школы БУ'!G194+'Школы АУ'!G194)</f>
        <v>0</v>
      </c>
      <c r="H194" s="33">
        <f>SUM('Школы БУ'!H194+'Школы АУ'!H194)</f>
        <v>0</v>
      </c>
      <c r="I194" s="33">
        <f>SUM('Школы БУ'!I194+'Школы АУ'!I194)</f>
        <v>0</v>
      </c>
      <c r="J194" s="33">
        <f>SUM('Школы БУ'!J194+'Школы АУ'!J194)</f>
        <v>0</v>
      </c>
      <c r="K194" s="33">
        <f>SUM('Школы БУ'!K194+'Школы АУ'!K194)</f>
        <v>0</v>
      </c>
      <c r="L194" s="33">
        <f>SUM('Школы БУ'!L194+'Школы АУ'!L194)</f>
        <v>0</v>
      </c>
      <c r="M194" s="33">
        <f>SUM('Школы БУ'!M194+'Школы АУ'!M194)</f>
        <v>0</v>
      </c>
      <c r="N194" s="33">
        <f>SUM('Школы БУ'!N194+'Школы АУ'!N194)</f>
        <v>0</v>
      </c>
      <c r="O194" s="33">
        <f>SUM('Школы БУ'!O194+'Школы АУ'!O194)</f>
        <v>0</v>
      </c>
      <c r="P194" s="33">
        <f>SUM('Школы БУ'!P194+'Школы АУ'!P194)</f>
        <v>0</v>
      </c>
      <c r="Q194" s="33">
        <f>SUM('Школы БУ'!Q194+'Школы АУ'!Q194)</f>
        <v>0</v>
      </c>
      <c r="R194" s="33">
        <f>SUM('Школы БУ'!R194+'Школы АУ'!R194)</f>
        <v>0</v>
      </c>
      <c r="S194" s="33">
        <f>SUM('Школы БУ'!S194+'Школы АУ'!S194)</f>
        <v>752701.31</v>
      </c>
      <c r="T194" s="33">
        <f>SUM('Школы БУ'!T194+'Школы АУ'!T194)</f>
        <v>222559.63</v>
      </c>
    </row>
    <row r="195" spans="1:20" s="6" customFormat="1" ht="16.5" x14ac:dyDescent="0.25">
      <c r="A195" s="63"/>
      <c r="B195" s="58" t="s">
        <v>214</v>
      </c>
      <c r="C195" s="51">
        <v>223</v>
      </c>
      <c r="D195" s="33">
        <f t="shared" si="53"/>
        <v>507724.12</v>
      </c>
      <c r="E195" s="33">
        <f t="shared" si="54"/>
        <v>167079.5</v>
      </c>
      <c r="F195" s="33"/>
      <c r="G195" s="33">
        <f>SUM('Школы БУ'!G195+'Школы АУ'!G195)</f>
        <v>0</v>
      </c>
      <c r="H195" s="33">
        <f>SUM('Школы БУ'!H195+'Школы АУ'!H195)</f>
        <v>0</v>
      </c>
      <c r="I195" s="33">
        <f>SUM('Школы БУ'!I195+'Школы АУ'!I195)</f>
        <v>0</v>
      </c>
      <c r="J195" s="33">
        <f>SUM('Школы БУ'!J195+'Школы АУ'!J195)</f>
        <v>0</v>
      </c>
      <c r="K195" s="33">
        <f>SUM('Школы БУ'!K195+'Школы АУ'!K195)</f>
        <v>0</v>
      </c>
      <c r="L195" s="33">
        <f>SUM('Школы БУ'!L195+'Школы АУ'!L195)</f>
        <v>0</v>
      </c>
      <c r="M195" s="33">
        <f>SUM('Школы БУ'!M195+'Школы АУ'!M195)</f>
        <v>0</v>
      </c>
      <c r="N195" s="33">
        <f>SUM('Школы БУ'!N195+'Школы АУ'!N195)</f>
        <v>0</v>
      </c>
      <c r="O195" s="33">
        <f>SUM('Школы БУ'!O195+'Школы АУ'!O195)</f>
        <v>0</v>
      </c>
      <c r="P195" s="33">
        <f>SUM('Школы БУ'!P195+'Школы АУ'!P195)</f>
        <v>0</v>
      </c>
      <c r="Q195" s="33">
        <f>SUM('Школы БУ'!Q195+'Школы АУ'!Q195)</f>
        <v>0</v>
      </c>
      <c r="R195" s="33">
        <f>SUM('Школы БУ'!R195+'Школы АУ'!R195)</f>
        <v>0</v>
      </c>
      <c r="S195" s="33">
        <f>SUM('Школы БУ'!S195+'Школы АУ'!S195)</f>
        <v>507724.12</v>
      </c>
      <c r="T195" s="33">
        <f>SUM('Школы БУ'!T195+'Школы АУ'!T195)</f>
        <v>167079.5</v>
      </c>
    </row>
    <row r="196" spans="1:20" s="6" customFormat="1" ht="16.5" x14ac:dyDescent="0.25">
      <c r="A196" s="63"/>
      <c r="B196" s="58" t="s">
        <v>215</v>
      </c>
      <c r="C196" s="51">
        <v>223</v>
      </c>
      <c r="D196" s="33">
        <f t="shared" si="53"/>
        <v>263300</v>
      </c>
      <c r="E196" s="33">
        <f t="shared" si="54"/>
        <v>58149.77</v>
      </c>
      <c r="F196" s="33"/>
      <c r="G196" s="33">
        <f>SUM('Школы БУ'!G196+'Школы АУ'!G196)</f>
        <v>0</v>
      </c>
      <c r="H196" s="33">
        <f>SUM('Школы БУ'!H196+'Школы АУ'!H196)</f>
        <v>0</v>
      </c>
      <c r="I196" s="33">
        <f>SUM('Школы БУ'!I196+'Школы АУ'!I196)</f>
        <v>0</v>
      </c>
      <c r="J196" s="33">
        <f>SUM('Школы БУ'!J196+'Школы АУ'!J196)</f>
        <v>0</v>
      </c>
      <c r="K196" s="33">
        <f>SUM('Школы БУ'!K196+'Школы АУ'!K196)</f>
        <v>0</v>
      </c>
      <c r="L196" s="33">
        <f>SUM('Школы БУ'!L196+'Школы АУ'!L196)</f>
        <v>0</v>
      </c>
      <c r="M196" s="33">
        <f>SUM('Школы БУ'!M196+'Школы АУ'!M196)</f>
        <v>0</v>
      </c>
      <c r="N196" s="33">
        <f>SUM('Школы БУ'!N196+'Школы АУ'!N196)</f>
        <v>0</v>
      </c>
      <c r="O196" s="33">
        <f>SUM('Школы БУ'!O196+'Школы АУ'!O196)</f>
        <v>0</v>
      </c>
      <c r="P196" s="33">
        <f>SUM('Школы БУ'!P196+'Школы АУ'!P196)</f>
        <v>0</v>
      </c>
      <c r="Q196" s="33">
        <f>SUM('Школы БУ'!Q196+'Школы АУ'!Q196)</f>
        <v>0</v>
      </c>
      <c r="R196" s="33">
        <f>SUM('Школы БУ'!R196+'Школы АУ'!R196)</f>
        <v>0</v>
      </c>
      <c r="S196" s="33">
        <f>SUM('Школы БУ'!S196+'Школы АУ'!S196)</f>
        <v>263300</v>
      </c>
      <c r="T196" s="33">
        <f>SUM('Школы БУ'!T196+'Школы АУ'!T196)</f>
        <v>58149.77</v>
      </c>
    </row>
    <row r="197" spans="1:20" s="6" customFormat="1" ht="16.5" x14ac:dyDescent="0.25">
      <c r="A197" s="63" t="s">
        <v>216</v>
      </c>
      <c r="B197" s="58" t="s">
        <v>217</v>
      </c>
      <c r="C197" s="51">
        <v>224</v>
      </c>
      <c r="D197" s="33">
        <f t="shared" si="53"/>
        <v>0</v>
      </c>
      <c r="E197" s="33">
        <f t="shared" si="54"/>
        <v>0</v>
      </c>
      <c r="F197" s="33"/>
      <c r="G197" s="33">
        <f>SUM('Школы БУ'!G197+'Школы АУ'!G197)</f>
        <v>0</v>
      </c>
      <c r="H197" s="33">
        <f>SUM('Школы БУ'!H197+'Школы АУ'!H197)</f>
        <v>0</v>
      </c>
      <c r="I197" s="33">
        <f>SUM('Школы БУ'!I197+'Школы АУ'!I197)</f>
        <v>0</v>
      </c>
      <c r="J197" s="33">
        <f>SUM('Школы БУ'!J197+'Школы АУ'!J197)</f>
        <v>0</v>
      </c>
      <c r="K197" s="33">
        <f>SUM('Школы БУ'!K197+'Школы АУ'!K197)</f>
        <v>0</v>
      </c>
      <c r="L197" s="33">
        <f>SUM('Школы БУ'!L197+'Школы АУ'!L197)</f>
        <v>0</v>
      </c>
      <c r="M197" s="33">
        <f>SUM('Школы БУ'!M197+'Школы АУ'!M197)</f>
        <v>0</v>
      </c>
      <c r="N197" s="33">
        <f>SUM('Школы БУ'!N197+'Школы АУ'!N197)</f>
        <v>0</v>
      </c>
      <c r="O197" s="33">
        <f>SUM('Школы БУ'!O197+'Школы АУ'!O197)</f>
        <v>0</v>
      </c>
      <c r="P197" s="33">
        <f>SUM('Школы БУ'!P197+'Школы АУ'!P197)</f>
        <v>0</v>
      </c>
      <c r="Q197" s="33">
        <f>SUM('Школы БУ'!Q197+'Школы АУ'!Q197)</f>
        <v>0</v>
      </c>
      <c r="R197" s="33">
        <f>SUM('Школы БУ'!R197+'Школы АУ'!R197)</f>
        <v>0</v>
      </c>
      <c r="S197" s="33">
        <f>SUM('Школы БУ'!S197+'Школы АУ'!S197)</f>
        <v>0</v>
      </c>
      <c r="T197" s="33">
        <f>SUM('Школы БУ'!T197+'Школы АУ'!T197)</f>
        <v>0</v>
      </c>
    </row>
    <row r="198" spans="1:20" s="6" customFormat="1" ht="16.5" x14ac:dyDescent="0.25">
      <c r="A198" s="63" t="s">
        <v>218</v>
      </c>
      <c r="B198" s="58" t="s">
        <v>219</v>
      </c>
      <c r="C198" s="51">
        <v>225</v>
      </c>
      <c r="D198" s="33">
        <f t="shared" si="53"/>
        <v>0</v>
      </c>
      <c r="E198" s="33">
        <f t="shared" si="54"/>
        <v>0</v>
      </c>
      <c r="F198" s="33"/>
      <c r="G198" s="33">
        <f>SUM('Школы БУ'!G198+'Школы АУ'!G198)</f>
        <v>0</v>
      </c>
      <c r="H198" s="33">
        <f>SUM('Школы БУ'!H198+'Школы АУ'!H198)</f>
        <v>0</v>
      </c>
      <c r="I198" s="33">
        <f>SUM('Школы БУ'!I198+'Школы АУ'!I198)</f>
        <v>0</v>
      </c>
      <c r="J198" s="33">
        <f>SUM('Школы БУ'!J198+'Школы АУ'!J198)</f>
        <v>0</v>
      </c>
      <c r="K198" s="33">
        <f>SUM('Школы БУ'!K198+'Школы АУ'!K198)</f>
        <v>0</v>
      </c>
      <c r="L198" s="33">
        <f>SUM('Школы БУ'!L198+'Школы АУ'!L198)</f>
        <v>0</v>
      </c>
      <c r="M198" s="33">
        <f>SUM('Школы БУ'!M198+'Школы АУ'!M198)</f>
        <v>0</v>
      </c>
      <c r="N198" s="33">
        <f>SUM('Школы БУ'!N198+'Школы АУ'!N198)</f>
        <v>0</v>
      </c>
      <c r="O198" s="33">
        <f>SUM('Школы БУ'!O198+'Школы АУ'!O198)</f>
        <v>0</v>
      </c>
      <c r="P198" s="33">
        <f>SUM('Школы БУ'!P198+'Школы АУ'!P198)</f>
        <v>0</v>
      </c>
      <c r="Q198" s="33">
        <f>SUM('Школы БУ'!Q198+'Школы АУ'!Q198)</f>
        <v>0</v>
      </c>
      <c r="R198" s="33">
        <f>SUM('Школы БУ'!R198+'Школы АУ'!R198)</f>
        <v>0</v>
      </c>
      <c r="S198" s="33">
        <f>SUM('Школы БУ'!S198+'Школы АУ'!S198)</f>
        <v>0</v>
      </c>
      <c r="T198" s="33">
        <f>SUM('Школы БУ'!T198+'Школы АУ'!T198)</f>
        <v>0</v>
      </c>
    </row>
    <row r="199" spans="1:20" s="6" customFormat="1" ht="16.5" x14ac:dyDescent="0.25">
      <c r="A199" s="63" t="s">
        <v>220</v>
      </c>
      <c r="B199" s="58" t="s">
        <v>221</v>
      </c>
      <c r="C199" s="51">
        <v>225</v>
      </c>
      <c r="D199" s="33">
        <f t="shared" si="53"/>
        <v>3304009.3</v>
      </c>
      <c r="E199" s="33">
        <f t="shared" si="54"/>
        <v>923166.73</v>
      </c>
      <c r="F199" s="33"/>
      <c r="G199" s="33">
        <f>SUM('Школы БУ'!G199+'Школы АУ'!G199)</f>
        <v>0</v>
      </c>
      <c r="H199" s="33">
        <f>SUM('Школы БУ'!H199+'Школы АУ'!H199)</f>
        <v>0</v>
      </c>
      <c r="I199" s="33">
        <f>SUM('Школы БУ'!I199+'Школы АУ'!I199)</f>
        <v>0</v>
      </c>
      <c r="J199" s="33">
        <f>SUM('Школы БУ'!J199+'Школы АУ'!J199)</f>
        <v>0</v>
      </c>
      <c r="K199" s="33">
        <f>SUM('Школы БУ'!K199+'Школы АУ'!K199)</f>
        <v>0</v>
      </c>
      <c r="L199" s="33">
        <f>SUM('Школы БУ'!L199+'Школы АУ'!L199)</f>
        <v>0</v>
      </c>
      <c r="M199" s="33">
        <f>SUM('Школы БУ'!M199+'Школы АУ'!M199)</f>
        <v>0</v>
      </c>
      <c r="N199" s="33">
        <f>SUM('Школы БУ'!N199+'Школы АУ'!N199)</f>
        <v>0</v>
      </c>
      <c r="O199" s="33">
        <f>SUM('Школы БУ'!O199+'Школы АУ'!O199)</f>
        <v>0</v>
      </c>
      <c r="P199" s="33">
        <f>SUM('Школы БУ'!P199+'Школы АУ'!P199)</f>
        <v>0</v>
      </c>
      <c r="Q199" s="33">
        <f>SUM('Школы БУ'!Q199+'Школы АУ'!Q199)</f>
        <v>0</v>
      </c>
      <c r="R199" s="33">
        <f>SUM('Школы БУ'!R199+'Школы АУ'!R199)</f>
        <v>0</v>
      </c>
      <c r="S199" s="33">
        <f>SUM('Школы БУ'!S199+'Школы АУ'!S199)</f>
        <v>3304009.3</v>
      </c>
      <c r="T199" s="33">
        <f>SUM('Школы БУ'!T199+'Школы АУ'!T199)</f>
        <v>923166.73</v>
      </c>
    </row>
    <row r="200" spans="1:20" s="6" customFormat="1" ht="16.5" x14ac:dyDescent="0.25">
      <c r="A200" s="63" t="s">
        <v>222</v>
      </c>
      <c r="B200" s="58" t="s">
        <v>223</v>
      </c>
      <c r="C200" s="51">
        <v>226</v>
      </c>
      <c r="D200" s="33">
        <f t="shared" si="53"/>
        <v>55083909.030000001</v>
      </c>
      <c r="E200" s="33">
        <f t="shared" si="54"/>
        <v>20944876.940000001</v>
      </c>
      <c r="F200" s="33"/>
      <c r="G200" s="33">
        <f>SUM('Школы БУ'!G200+'Школы АУ'!G200)</f>
        <v>0</v>
      </c>
      <c r="H200" s="33">
        <f>SUM('Школы БУ'!H200+'Школы АУ'!H200)</f>
        <v>0</v>
      </c>
      <c r="I200" s="33">
        <f>SUM('Школы БУ'!I200+'Школы АУ'!I200)</f>
        <v>0</v>
      </c>
      <c r="J200" s="33">
        <f>SUM('Школы БУ'!J200+'Школы АУ'!J200)</f>
        <v>0</v>
      </c>
      <c r="K200" s="33">
        <f>SUM('Школы БУ'!K200+'Школы АУ'!K200)</f>
        <v>0</v>
      </c>
      <c r="L200" s="33">
        <f>SUM('Школы БУ'!L200+'Школы АУ'!L200)</f>
        <v>0</v>
      </c>
      <c r="M200" s="33">
        <f>SUM('Школы БУ'!M200+'Школы АУ'!M200)</f>
        <v>0</v>
      </c>
      <c r="N200" s="33">
        <f>SUM('Школы БУ'!N200+'Школы АУ'!N200)</f>
        <v>0</v>
      </c>
      <c r="O200" s="33">
        <f>SUM('Школы БУ'!O200+'Школы АУ'!O200)</f>
        <v>0</v>
      </c>
      <c r="P200" s="33">
        <f>SUM('Школы БУ'!P200+'Школы АУ'!P200)</f>
        <v>0</v>
      </c>
      <c r="Q200" s="33">
        <f>SUM('Школы БУ'!Q200+'Школы АУ'!Q200)</f>
        <v>0</v>
      </c>
      <c r="R200" s="33">
        <f>SUM('Школы БУ'!R200+'Школы АУ'!R200)</f>
        <v>0</v>
      </c>
      <c r="S200" s="33">
        <f>SUM('Школы БУ'!S200+'Школы АУ'!S200)</f>
        <v>55083909.030000001</v>
      </c>
      <c r="T200" s="33">
        <f>SUM('Школы БУ'!T200+'Школы АУ'!T200)</f>
        <v>20944876.940000001</v>
      </c>
    </row>
    <row r="201" spans="1:20" s="6" customFormat="1" ht="16.5" x14ac:dyDescent="0.25">
      <c r="A201" s="63" t="s">
        <v>224</v>
      </c>
      <c r="B201" s="58" t="s">
        <v>225</v>
      </c>
      <c r="C201" s="51">
        <v>226</v>
      </c>
      <c r="D201" s="33">
        <f t="shared" si="53"/>
        <v>21219475.699999999</v>
      </c>
      <c r="E201" s="33">
        <f t="shared" si="54"/>
        <v>1361711.08</v>
      </c>
      <c r="F201" s="33"/>
      <c r="G201" s="33">
        <f>SUM('Школы БУ'!G201+'Школы АУ'!G201)</f>
        <v>0</v>
      </c>
      <c r="H201" s="33">
        <f>SUM('Школы БУ'!H201+'Школы АУ'!H201)</f>
        <v>0</v>
      </c>
      <c r="I201" s="33">
        <f>SUM('Школы БУ'!I201+'Школы АУ'!I201)</f>
        <v>0</v>
      </c>
      <c r="J201" s="33">
        <f>SUM('Школы БУ'!J201+'Школы АУ'!J201)</f>
        <v>0</v>
      </c>
      <c r="K201" s="33">
        <f>SUM('Школы БУ'!K201+'Школы АУ'!K201)</f>
        <v>0</v>
      </c>
      <c r="L201" s="33">
        <f>SUM('Школы БУ'!L201+'Школы АУ'!L201)</f>
        <v>0</v>
      </c>
      <c r="M201" s="33">
        <f>SUM('Школы БУ'!M201+'Школы АУ'!M201)</f>
        <v>0</v>
      </c>
      <c r="N201" s="33">
        <f>SUM('Школы БУ'!N201+'Школы АУ'!N201)</f>
        <v>0</v>
      </c>
      <c r="O201" s="33">
        <f>SUM('Школы БУ'!O201+'Школы АУ'!O201)</f>
        <v>0</v>
      </c>
      <c r="P201" s="33">
        <f>SUM('Школы БУ'!P201+'Школы АУ'!P201)</f>
        <v>0</v>
      </c>
      <c r="Q201" s="33">
        <f>SUM('Школы БУ'!Q201+'Школы АУ'!Q201)</f>
        <v>0</v>
      </c>
      <c r="R201" s="33">
        <f>SUM('Школы БУ'!R201+'Школы АУ'!R201)</f>
        <v>0</v>
      </c>
      <c r="S201" s="33">
        <f>SUM('Школы БУ'!S201+'Школы АУ'!S201)</f>
        <v>21219475.699999999</v>
      </c>
      <c r="T201" s="33">
        <f>SUM('Школы БУ'!T201+'Школы АУ'!T201)</f>
        <v>1361711.08</v>
      </c>
    </row>
    <row r="202" spans="1:20" s="6" customFormat="1" ht="16.5" x14ac:dyDescent="0.25">
      <c r="A202" s="63" t="s">
        <v>226</v>
      </c>
      <c r="B202" s="28" t="s">
        <v>68</v>
      </c>
      <c r="C202" s="51">
        <v>290</v>
      </c>
      <c r="D202" s="33">
        <f t="shared" si="53"/>
        <v>772834.34000000008</v>
      </c>
      <c r="E202" s="33">
        <f t="shared" si="54"/>
        <v>355385.47</v>
      </c>
      <c r="F202" s="33"/>
      <c r="G202" s="33">
        <f>SUM('Школы БУ'!G202+'Школы АУ'!G202)</f>
        <v>0</v>
      </c>
      <c r="H202" s="33">
        <f>SUM('Школы БУ'!H202+'Школы АУ'!H202)</f>
        <v>0</v>
      </c>
      <c r="I202" s="33">
        <f>SUM('Школы БУ'!I202+'Школы АУ'!I202)</f>
        <v>0</v>
      </c>
      <c r="J202" s="33">
        <f>SUM('Школы БУ'!J202+'Школы АУ'!J202)</f>
        <v>0</v>
      </c>
      <c r="K202" s="33">
        <f>SUM('Школы БУ'!K202+'Школы АУ'!K202)</f>
        <v>0</v>
      </c>
      <c r="L202" s="33">
        <f>SUM('Школы БУ'!L202+'Школы АУ'!L202)</f>
        <v>0</v>
      </c>
      <c r="M202" s="33">
        <f>SUM('Школы БУ'!M202+'Школы АУ'!M202)</f>
        <v>0</v>
      </c>
      <c r="N202" s="33">
        <f>SUM('Школы БУ'!N202+'Школы АУ'!N202)</f>
        <v>0</v>
      </c>
      <c r="O202" s="33">
        <f>SUM('Школы БУ'!O202+'Школы АУ'!O202)</f>
        <v>0</v>
      </c>
      <c r="P202" s="33">
        <f>SUM('Школы БУ'!P202+'Школы АУ'!P202)</f>
        <v>0</v>
      </c>
      <c r="Q202" s="33">
        <f>SUM('Школы БУ'!Q202+'Школы АУ'!Q202)</f>
        <v>0</v>
      </c>
      <c r="R202" s="33">
        <f>SUM('Школы БУ'!R202+'Школы АУ'!R202)</f>
        <v>0</v>
      </c>
      <c r="S202" s="33">
        <f>SUM('Школы БУ'!S202+'Школы АУ'!S202)</f>
        <v>772834.34000000008</v>
      </c>
      <c r="T202" s="33">
        <f>SUM('Школы БУ'!T202+'Школы АУ'!T202)</f>
        <v>355385.47</v>
      </c>
    </row>
    <row r="203" spans="1:20" s="6" customFormat="1" ht="16.5" x14ac:dyDescent="0.25">
      <c r="A203" s="63" t="s">
        <v>227</v>
      </c>
      <c r="B203" s="58" t="s">
        <v>72</v>
      </c>
      <c r="C203" s="51">
        <v>310</v>
      </c>
      <c r="D203" s="33">
        <f t="shared" si="53"/>
        <v>5659008.0499999998</v>
      </c>
      <c r="E203" s="33">
        <f t="shared" si="54"/>
        <v>1712645.05</v>
      </c>
      <c r="F203" s="33"/>
      <c r="G203" s="33">
        <f>SUM('Школы БУ'!G203+'Школы АУ'!G203)</f>
        <v>0</v>
      </c>
      <c r="H203" s="33">
        <f>SUM('Школы БУ'!H203+'Школы АУ'!H203)</f>
        <v>0</v>
      </c>
      <c r="I203" s="33">
        <f>SUM('Школы БУ'!I203+'Школы АУ'!I203)</f>
        <v>0</v>
      </c>
      <c r="J203" s="33">
        <f>SUM('Школы БУ'!J203+'Школы АУ'!J203)</f>
        <v>0</v>
      </c>
      <c r="K203" s="33">
        <f>SUM('Школы БУ'!K203+'Школы АУ'!K203)</f>
        <v>0</v>
      </c>
      <c r="L203" s="33">
        <f>SUM('Школы БУ'!L203+'Школы АУ'!L203)</f>
        <v>0</v>
      </c>
      <c r="M203" s="33">
        <f>SUM('Школы БУ'!M203+'Школы АУ'!M203)</f>
        <v>0</v>
      </c>
      <c r="N203" s="33">
        <f>SUM('Школы БУ'!N203+'Школы АУ'!N203)</f>
        <v>0</v>
      </c>
      <c r="O203" s="33">
        <f>SUM('Школы БУ'!O203+'Школы АУ'!O203)</f>
        <v>0</v>
      </c>
      <c r="P203" s="33">
        <f>SUM('Школы БУ'!P203+'Школы АУ'!P203)</f>
        <v>0</v>
      </c>
      <c r="Q203" s="33">
        <f>SUM('Школы БУ'!Q203+'Школы АУ'!Q203)</f>
        <v>0</v>
      </c>
      <c r="R203" s="33">
        <f>SUM('Школы БУ'!R203+'Школы АУ'!R203)</f>
        <v>0</v>
      </c>
      <c r="S203" s="33">
        <f>SUM('Школы БУ'!S203+'Школы АУ'!S203)</f>
        <v>5659008.0499999998</v>
      </c>
      <c r="T203" s="33">
        <f>SUM('Школы БУ'!T203+'Школы АУ'!T203)</f>
        <v>1712645.05</v>
      </c>
    </row>
    <row r="204" spans="1:20" s="6" customFormat="1" ht="16.5" x14ac:dyDescent="0.25">
      <c r="A204" s="63" t="s">
        <v>228</v>
      </c>
      <c r="B204" s="58" t="s">
        <v>243</v>
      </c>
      <c r="C204" s="51">
        <v>340</v>
      </c>
      <c r="D204" s="33">
        <f t="shared" si="53"/>
        <v>25394823.02</v>
      </c>
      <c r="E204" s="33">
        <f t="shared" si="54"/>
        <v>17623464.41</v>
      </c>
      <c r="F204" s="33"/>
      <c r="G204" s="33">
        <f>SUM('Школы БУ'!G204+'Школы АУ'!G204)</f>
        <v>0</v>
      </c>
      <c r="H204" s="33">
        <f>SUM('Школы БУ'!H204+'Школы АУ'!H204)</f>
        <v>0</v>
      </c>
      <c r="I204" s="33">
        <f>SUM('Школы БУ'!I204+'Школы АУ'!I204)</f>
        <v>0</v>
      </c>
      <c r="J204" s="33">
        <f>SUM('Школы БУ'!J204+'Школы АУ'!J204)</f>
        <v>0</v>
      </c>
      <c r="K204" s="33">
        <f>SUM('Школы БУ'!K204+'Школы АУ'!K204)</f>
        <v>0</v>
      </c>
      <c r="L204" s="33">
        <f>SUM('Школы БУ'!L204+'Школы АУ'!L204)</f>
        <v>0</v>
      </c>
      <c r="M204" s="33">
        <f>SUM('Школы БУ'!M204+'Школы АУ'!M204)</f>
        <v>0</v>
      </c>
      <c r="N204" s="33">
        <f>SUM('Школы БУ'!N204+'Школы АУ'!N204)</f>
        <v>0</v>
      </c>
      <c r="O204" s="33">
        <f>SUM('Школы БУ'!O204+'Школы АУ'!O204)</f>
        <v>0</v>
      </c>
      <c r="P204" s="33">
        <f>SUM('Школы БУ'!P204+'Школы АУ'!P204)</f>
        <v>0</v>
      </c>
      <c r="Q204" s="33">
        <f>SUM('Школы БУ'!Q204+'Школы АУ'!Q204)</f>
        <v>0</v>
      </c>
      <c r="R204" s="33">
        <f>SUM('Школы БУ'!R204+'Школы АУ'!R204)</f>
        <v>0</v>
      </c>
      <c r="S204" s="33">
        <f>SUM('Школы БУ'!S204+'Школы АУ'!S204)</f>
        <v>25394823.02</v>
      </c>
      <c r="T204" s="33">
        <f>SUM('Школы БУ'!T204+'Школы АУ'!T204)</f>
        <v>17623464.41</v>
      </c>
    </row>
    <row r="205" spans="1:20" s="6" customFormat="1" ht="16.5" x14ac:dyDescent="0.25">
      <c r="A205" s="63" t="s">
        <v>286</v>
      </c>
      <c r="B205" s="58" t="s">
        <v>225</v>
      </c>
      <c r="C205" s="51">
        <v>340</v>
      </c>
      <c r="D205" s="33">
        <f t="shared" si="53"/>
        <v>7344500</v>
      </c>
      <c r="E205" s="33">
        <f t="shared" si="54"/>
        <v>294794.01</v>
      </c>
      <c r="F205" s="33"/>
      <c r="G205" s="33">
        <f>SUM('Школы БУ'!G205+'Школы АУ'!G205)</f>
        <v>0</v>
      </c>
      <c r="H205" s="33">
        <f>SUM('Школы БУ'!H205+'Школы АУ'!H205)</f>
        <v>0</v>
      </c>
      <c r="I205" s="33">
        <f>SUM('Школы БУ'!I205+'Школы АУ'!I205)</f>
        <v>0</v>
      </c>
      <c r="J205" s="33">
        <f>SUM('Школы БУ'!J205+'Школы АУ'!J205)</f>
        <v>0</v>
      </c>
      <c r="K205" s="33">
        <f>SUM('Школы БУ'!K205+'Школы АУ'!K205)</f>
        <v>0</v>
      </c>
      <c r="L205" s="33">
        <f>SUM('Школы БУ'!L205+'Школы АУ'!L205)</f>
        <v>0</v>
      </c>
      <c r="M205" s="33">
        <f>SUM('Школы БУ'!M205+'Школы АУ'!M205)</f>
        <v>0</v>
      </c>
      <c r="N205" s="33">
        <f>SUM('Школы БУ'!N205+'Школы АУ'!N205)</f>
        <v>0</v>
      </c>
      <c r="O205" s="33">
        <f>SUM('Школы БУ'!O205+'Школы АУ'!O205)</f>
        <v>0</v>
      </c>
      <c r="P205" s="33">
        <f>SUM('Школы БУ'!P205+'Школы АУ'!P205)</f>
        <v>0</v>
      </c>
      <c r="Q205" s="33">
        <f>SUM('Школы БУ'!Q205+'Школы АУ'!Q205)</f>
        <v>0</v>
      </c>
      <c r="R205" s="33">
        <f>SUM('Школы БУ'!R205+'Школы АУ'!R205)</f>
        <v>0</v>
      </c>
      <c r="S205" s="33">
        <f>SUM('Школы БУ'!S205+'Школы АУ'!S205)</f>
        <v>7344500</v>
      </c>
      <c r="T205" s="33">
        <f>SUM('Школы БУ'!T205+'Школы АУ'!T205)</f>
        <v>294794.01</v>
      </c>
    </row>
    <row r="206" spans="1:20" s="18" customFormat="1" ht="17.25" x14ac:dyDescent="0.25">
      <c r="A206" s="61" t="s">
        <v>229</v>
      </c>
      <c r="B206" s="62" t="s">
        <v>39</v>
      </c>
      <c r="C206" s="49"/>
      <c r="D206" s="34">
        <f t="shared" ref="D206:T206" si="61">SUM(D207+D208+D209+D210+D211+D212+D216+D217+D218+D219+D220+D221+D222)</f>
        <v>5715335.1699999999</v>
      </c>
      <c r="E206" s="34">
        <f t="shared" si="61"/>
        <v>1099667.28</v>
      </c>
      <c r="F206" s="34"/>
      <c r="G206" s="34">
        <f t="shared" si="61"/>
        <v>0</v>
      </c>
      <c r="H206" s="34">
        <f t="shared" si="61"/>
        <v>0</v>
      </c>
      <c r="I206" s="34">
        <f t="shared" si="61"/>
        <v>0</v>
      </c>
      <c r="J206" s="34">
        <f t="shared" si="61"/>
        <v>0</v>
      </c>
      <c r="K206" s="34">
        <f t="shared" si="61"/>
        <v>0</v>
      </c>
      <c r="L206" s="34">
        <f t="shared" si="61"/>
        <v>0</v>
      </c>
      <c r="M206" s="34">
        <f t="shared" si="61"/>
        <v>0</v>
      </c>
      <c r="N206" s="34">
        <f t="shared" si="61"/>
        <v>0</v>
      </c>
      <c r="O206" s="34">
        <f t="shared" si="61"/>
        <v>0</v>
      </c>
      <c r="P206" s="34">
        <f t="shared" si="61"/>
        <v>0</v>
      </c>
      <c r="Q206" s="34">
        <f t="shared" si="61"/>
        <v>0</v>
      </c>
      <c r="R206" s="34">
        <f t="shared" si="61"/>
        <v>0</v>
      </c>
      <c r="S206" s="34">
        <f t="shared" si="61"/>
        <v>5715335.1699999999</v>
      </c>
      <c r="T206" s="34">
        <f t="shared" si="61"/>
        <v>1099667.28</v>
      </c>
    </row>
    <row r="207" spans="1:20" s="6" customFormat="1" ht="16.5" hidden="1" x14ac:dyDescent="0.25">
      <c r="A207" s="63" t="s">
        <v>230</v>
      </c>
      <c r="B207" s="28" t="s">
        <v>47</v>
      </c>
      <c r="C207" s="51">
        <v>211</v>
      </c>
      <c r="D207" s="33">
        <f t="shared" si="53"/>
        <v>0</v>
      </c>
      <c r="E207" s="33">
        <f t="shared" si="54"/>
        <v>0</v>
      </c>
      <c r="F207" s="33"/>
      <c r="G207" s="33">
        <f>SUM('Школы БУ'!G207+'Школы АУ'!G207)</f>
        <v>0</v>
      </c>
      <c r="H207" s="33"/>
      <c r="I207" s="33">
        <f>SUM('Школы БУ'!I207+'Школы АУ'!I207)</f>
        <v>0</v>
      </c>
      <c r="J207" s="33"/>
      <c r="K207" s="33">
        <f>SUM('Школы БУ'!K207+'Школы АУ'!K207)</f>
        <v>0</v>
      </c>
      <c r="L207" s="33"/>
      <c r="M207" s="33">
        <f>SUM('Школы БУ'!M207+'Школы АУ'!M207)</f>
        <v>0</v>
      </c>
      <c r="N207" s="33"/>
      <c r="O207" s="33">
        <f>SUM('Школы БУ'!O207+'Школы АУ'!O207)</f>
        <v>0</v>
      </c>
      <c r="P207" s="33"/>
      <c r="Q207" s="33">
        <f>SUM('Школы БУ'!Q207+'Школы АУ'!Q207)</f>
        <v>0</v>
      </c>
      <c r="R207" s="33"/>
      <c r="S207" s="33">
        <f>SUM('Школы БУ'!S207+'Школы АУ'!S207)</f>
        <v>0</v>
      </c>
      <c r="T207" s="33">
        <f>SUM('Школы БУ'!T207+'Школы АУ'!T207)</f>
        <v>0</v>
      </c>
    </row>
    <row r="208" spans="1:20" s="6" customFormat="1" ht="16.5" hidden="1" x14ac:dyDescent="0.25">
      <c r="A208" s="63" t="s">
        <v>231</v>
      </c>
      <c r="B208" s="28" t="s">
        <v>49</v>
      </c>
      <c r="C208" s="51">
        <v>212</v>
      </c>
      <c r="D208" s="33">
        <f t="shared" si="53"/>
        <v>0</v>
      </c>
      <c r="E208" s="33">
        <f t="shared" si="54"/>
        <v>0</v>
      </c>
      <c r="F208" s="33"/>
      <c r="G208" s="33">
        <f>SUM('Школы БУ'!G208+'Школы АУ'!G208)</f>
        <v>0</v>
      </c>
      <c r="H208" s="33"/>
      <c r="I208" s="33">
        <f>SUM('Школы БУ'!I208+'Школы АУ'!I208)</f>
        <v>0</v>
      </c>
      <c r="J208" s="33"/>
      <c r="K208" s="33">
        <f>SUM('Школы БУ'!K208+'Школы АУ'!K208)</f>
        <v>0</v>
      </c>
      <c r="L208" s="33"/>
      <c r="M208" s="33">
        <f>SUM('Школы БУ'!M208+'Школы АУ'!M208)</f>
        <v>0</v>
      </c>
      <c r="N208" s="33"/>
      <c r="O208" s="33">
        <f>SUM('Школы БУ'!O208+'Школы АУ'!O208)</f>
        <v>0</v>
      </c>
      <c r="P208" s="33"/>
      <c r="Q208" s="33">
        <f>SUM('Школы БУ'!Q208+'Школы АУ'!Q208)</f>
        <v>0</v>
      </c>
      <c r="R208" s="33"/>
      <c r="S208" s="33">
        <f>SUM('Школы БУ'!S208+'Школы АУ'!S208)</f>
        <v>0</v>
      </c>
      <c r="T208" s="33">
        <f>SUM('Школы БУ'!T208+'Школы АУ'!T208)</f>
        <v>0</v>
      </c>
    </row>
    <row r="209" spans="1:20" s="6" customFormat="1" ht="16.5" x14ac:dyDescent="0.25">
      <c r="A209" s="63" t="s">
        <v>232</v>
      </c>
      <c r="B209" s="28" t="s">
        <v>51</v>
      </c>
      <c r="C209" s="51">
        <v>213</v>
      </c>
      <c r="D209" s="33">
        <f t="shared" si="53"/>
        <v>0</v>
      </c>
      <c r="E209" s="33">
        <f t="shared" si="54"/>
        <v>0</v>
      </c>
      <c r="F209" s="33"/>
      <c r="G209" s="33">
        <f>SUM('Школы БУ'!G209+'Школы АУ'!G209)</f>
        <v>0</v>
      </c>
      <c r="H209" s="33">
        <f>SUM('Школы БУ'!H209+'Школы АУ'!H209)</f>
        <v>0</v>
      </c>
      <c r="I209" s="33">
        <f>SUM('Школы БУ'!I209+'Школы АУ'!I209)</f>
        <v>0</v>
      </c>
      <c r="J209" s="33">
        <f>SUM('Школы БУ'!J209+'Школы АУ'!J209)</f>
        <v>0</v>
      </c>
      <c r="K209" s="33">
        <f>SUM('Школы БУ'!K209+'Школы АУ'!K209)</f>
        <v>0</v>
      </c>
      <c r="L209" s="33">
        <f>SUM('Школы БУ'!L209+'Школы АУ'!L209)</f>
        <v>0</v>
      </c>
      <c r="M209" s="33">
        <f>SUM('Школы БУ'!M209+'Школы АУ'!M209)</f>
        <v>0</v>
      </c>
      <c r="N209" s="33">
        <f>SUM('Школы БУ'!N209+'Школы АУ'!N209)</f>
        <v>0</v>
      </c>
      <c r="O209" s="33">
        <f>SUM('Школы БУ'!O209+'Школы АУ'!O209)</f>
        <v>0</v>
      </c>
      <c r="P209" s="33">
        <f>SUM('Школы БУ'!P209+'Школы АУ'!P209)</f>
        <v>0</v>
      </c>
      <c r="Q209" s="33">
        <f>SUM('Школы БУ'!Q209+'Школы АУ'!Q209)</f>
        <v>0</v>
      </c>
      <c r="R209" s="33">
        <f>SUM('Школы БУ'!R209+'Школы АУ'!R209)</f>
        <v>0</v>
      </c>
      <c r="S209" s="33">
        <f>SUM('Школы БУ'!S209+'Школы АУ'!S209)</f>
        <v>0</v>
      </c>
      <c r="T209" s="33">
        <f>SUM('Школы БУ'!T209+'Школы АУ'!T209)</f>
        <v>0</v>
      </c>
    </row>
    <row r="210" spans="1:20" s="6" customFormat="1" ht="16.5" x14ac:dyDescent="0.25">
      <c r="A210" s="63" t="s">
        <v>233</v>
      </c>
      <c r="B210" s="28" t="s">
        <v>53</v>
      </c>
      <c r="C210" s="51">
        <v>221</v>
      </c>
      <c r="D210" s="33">
        <f t="shared" si="53"/>
        <v>119718.23</v>
      </c>
      <c r="E210" s="33">
        <f t="shared" si="54"/>
        <v>32581.09</v>
      </c>
      <c r="F210" s="33"/>
      <c r="G210" s="33">
        <f>SUM('Школы БУ'!G210+'Школы АУ'!G210)</f>
        <v>0</v>
      </c>
      <c r="H210" s="33">
        <f>SUM('Школы БУ'!H210+'Школы АУ'!H210)</f>
        <v>0</v>
      </c>
      <c r="I210" s="33">
        <f>SUM('Школы БУ'!I210+'Школы АУ'!I210)</f>
        <v>0</v>
      </c>
      <c r="J210" s="33">
        <f>SUM('Школы БУ'!J210+'Школы АУ'!J210)</f>
        <v>0</v>
      </c>
      <c r="K210" s="33">
        <f>SUM('Школы БУ'!K210+'Школы АУ'!K210)</f>
        <v>0</v>
      </c>
      <c r="L210" s="33">
        <f>SUM('Школы БУ'!L210+'Школы АУ'!L210)</f>
        <v>0</v>
      </c>
      <c r="M210" s="33">
        <f>SUM('Школы БУ'!M210+'Школы АУ'!M210)</f>
        <v>0</v>
      </c>
      <c r="N210" s="33">
        <f>SUM('Школы БУ'!N210+'Школы АУ'!N210)</f>
        <v>0</v>
      </c>
      <c r="O210" s="33">
        <f>SUM('Школы БУ'!O210+'Школы АУ'!O210)</f>
        <v>0</v>
      </c>
      <c r="P210" s="33">
        <f>SUM('Школы БУ'!P210+'Школы АУ'!P210)</f>
        <v>0</v>
      </c>
      <c r="Q210" s="33">
        <f>SUM('Школы БУ'!Q210+'Школы АУ'!Q210)</f>
        <v>0</v>
      </c>
      <c r="R210" s="33">
        <f>SUM('Школы БУ'!R210+'Школы АУ'!R210)</f>
        <v>0</v>
      </c>
      <c r="S210" s="33">
        <f>SUM('Школы БУ'!S210+'Школы АУ'!S210)</f>
        <v>119718.23</v>
      </c>
      <c r="T210" s="33">
        <f>SUM('Школы БУ'!T210+'Школы АУ'!T210)</f>
        <v>32581.09</v>
      </c>
    </row>
    <row r="211" spans="1:20" s="6" customFormat="1" ht="16.5" x14ac:dyDescent="0.25">
      <c r="A211" s="63" t="s">
        <v>234</v>
      </c>
      <c r="B211" s="28" t="s">
        <v>55</v>
      </c>
      <c r="C211" s="51">
        <v>222</v>
      </c>
      <c r="D211" s="33">
        <f t="shared" si="53"/>
        <v>40000</v>
      </c>
      <c r="E211" s="33">
        <f t="shared" si="54"/>
        <v>0</v>
      </c>
      <c r="F211" s="33"/>
      <c r="G211" s="33">
        <f>SUM('Школы БУ'!G211+'Школы АУ'!G211)</f>
        <v>0</v>
      </c>
      <c r="H211" s="33">
        <f>SUM('Школы БУ'!H211+'Школы АУ'!H211)</f>
        <v>0</v>
      </c>
      <c r="I211" s="33">
        <f>SUM('Школы БУ'!I211+'Школы АУ'!I211)</f>
        <v>0</v>
      </c>
      <c r="J211" s="33">
        <f>SUM('Школы БУ'!J211+'Школы АУ'!J211)</f>
        <v>0</v>
      </c>
      <c r="K211" s="33">
        <f>SUM('Школы БУ'!K211+'Школы АУ'!K211)</f>
        <v>0</v>
      </c>
      <c r="L211" s="33">
        <f>SUM('Школы БУ'!L211+'Школы АУ'!L211)</f>
        <v>0</v>
      </c>
      <c r="M211" s="33">
        <f>SUM('Школы БУ'!M211+'Школы АУ'!M211)</f>
        <v>0</v>
      </c>
      <c r="N211" s="33">
        <f>SUM('Школы БУ'!N211+'Школы АУ'!N211)</f>
        <v>0</v>
      </c>
      <c r="O211" s="33">
        <f>SUM('Школы БУ'!O211+'Школы АУ'!O211)</f>
        <v>0</v>
      </c>
      <c r="P211" s="33">
        <f>SUM('Школы БУ'!P211+'Школы АУ'!P211)</f>
        <v>0</v>
      </c>
      <c r="Q211" s="33">
        <f>SUM('Школы БУ'!Q211+'Школы АУ'!Q211)</f>
        <v>0</v>
      </c>
      <c r="R211" s="33">
        <f>SUM('Школы БУ'!R211+'Школы АУ'!R211)</f>
        <v>0</v>
      </c>
      <c r="S211" s="33">
        <f>SUM('Школы БУ'!S211+'Школы АУ'!S211)</f>
        <v>40000</v>
      </c>
      <c r="T211" s="33">
        <f>SUM('Школы БУ'!T211+'Школы АУ'!T211)</f>
        <v>0</v>
      </c>
    </row>
    <row r="212" spans="1:20" s="6" customFormat="1" ht="16.5" x14ac:dyDescent="0.25">
      <c r="A212" s="63" t="s">
        <v>235</v>
      </c>
      <c r="B212" s="28" t="s">
        <v>57</v>
      </c>
      <c r="C212" s="51">
        <v>223</v>
      </c>
      <c r="D212" s="33">
        <f t="shared" si="53"/>
        <v>0</v>
      </c>
      <c r="E212" s="33">
        <f t="shared" si="54"/>
        <v>0</v>
      </c>
      <c r="F212" s="33"/>
      <c r="G212" s="33">
        <f>SUM('Школы БУ'!G212+'Школы АУ'!G212)</f>
        <v>0</v>
      </c>
      <c r="H212" s="33">
        <f>SUM('Школы БУ'!H212+'Школы АУ'!H212)</f>
        <v>0</v>
      </c>
      <c r="I212" s="33">
        <f>SUM('Школы БУ'!I212+'Школы АУ'!I212)</f>
        <v>0</v>
      </c>
      <c r="J212" s="33">
        <f>SUM('Школы БУ'!J212+'Школы АУ'!J212)</f>
        <v>0</v>
      </c>
      <c r="K212" s="33">
        <f>SUM('Школы БУ'!K212+'Школы АУ'!K212)</f>
        <v>0</v>
      </c>
      <c r="L212" s="33">
        <f>SUM('Школы БУ'!L212+'Школы АУ'!L212)</f>
        <v>0</v>
      </c>
      <c r="M212" s="33">
        <f>SUM('Школы БУ'!M212+'Школы АУ'!M212)</f>
        <v>0</v>
      </c>
      <c r="N212" s="33">
        <f>SUM('Школы БУ'!N212+'Школы АУ'!N212)</f>
        <v>0</v>
      </c>
      <c r="O212" s="33">
        <f>SUM('Школы БУ'!O212+'Школы АУ'!O212)</f>
        <v>0</v>
      </c>
      <c r="P212" s="33">
        <f>SUM('Школы БУ'!P212+'Школы АУ'!P212)</f>
        <v>0</v>
      </c>
      <c r="Q212" s="33">
        <f>SUM('Школы БУ'!Q212+'Школы АУ'!Q212)</f>
        <v>0</v>
      </c>
      <c r="R212" s="33">
        <f>SUM('Школы БУ'!R212+'Школы АУ'!R212)</f>
        <v>0</v>
      </c>
      <c r="S212" s="33">
        <f>SUM('Школы БУ'!S212+'Школы АУ'!S212)</f>
        <v>0</v>
      </c>
      <c r="T212" s="33">
        <f>SUM('Школы БУ'!T212+'Школы АУ'!T212)</f>
        <v>0</v>
      </c>
    </row>
    <row r="213" spans="1:20" s="6" customFormat="1" ht="16.5" hidden="1" x14ac:dyDescent="0.25">
      <c r="A213" s="63"/>
      <c r="B213" s="58" t="s">
        <v>213</v>
      </c>
      <c r="C213" s="51">
        <v>223</v>
      </c>
      <c r="D213" s="33">
        <f t="shared" si="53"/>
        <v>0</v>
      </c>
      <c r="E213" s="33">
        <f t="shared" si="54"/>
        <v>0</v>
      </c>
      <c r="F213" s="33"/>
      <c r="G213" s="33">
        <f>SUM('Школы БУ'!G213+'Школы АУ'!G213)</f>
        <v>0</v>
      </c>
      <c r="H213" s="33">
        <f>SUM('Школы БУ'!H213+'Школы АУ'!H213)</f>
        <v>0</v>
      </c>
      <c r="I213" s="33">
        <f>SUM('Школы БУ'!I213+'Школы АУ'!I213)</f>
        <v>0</v>
      </c>
      <c r="J213" s="33">
        <f>SUM('Школы БУ'!J213+'Школы АУ'!J213)</f>
        <v>0</v>
      </c>
      <c r="K213" s="33">
        <f>SUM('Школы БУ'!K213+'Школы АУ'!K213)</f>
        <v>0</v>
      </c>
      <c r="L213" s="33">
        <f>SUM('Школы БУ'!L213+'Школы АУ'!L213)</f>
        <v>0</v>
      </c>
      <c r="M213" s="33">
        <f>SUM('Школы БУ'!M213+'Школы АУ'!M213)</f>
        <v>0</v>
      </c>
      <c r="N213" s="33">
        <f>SUM('Школы БУ'!N213+'Школы АУ'!N213)</f>
        <v>0</v>
      </c>
      <c r="O213" s="33">
        <f>SUM('Школы БУ'!O213+'Школы АУ'!O213)</f>
        <v>0</v>
      </c>
      <c r="P213" s="33">
        <f>SUM('Школы БУ'!P213+'Школы АУ'!P213)</f>
        <v>0</v>
      </c>
      <c r="Q213" s="33">
        <f>SUM('Школы БУ'!Q213+'Школы АУ'!Q213)</f>
        <v>0</v>
      </c>
      <c r="R213" s="33">
        <f>SUM('Школы БУ'!R213+'Школы АУ'!R213)</f>
        <v>0</v>
      </c>
      <c r="S213" s="33">
        <f>SUM('Школы БУ'!S213+'Школы АУ'!S213)</f>
        <v>0</v>
      </c>
      <c r="T213" s="33">
        <f>SUM('Школы БУ'!T213+'Школы АУ'!T213)</f>
        <v>0</v>
      </c>
    </row>
    <row r="214" spans="1:20" s="6" customFormat="1" ht="16.5" hidden="1" x14ac:dyDescent="0.25">
      <c r="A214" s="63"/>
      <c r="B214" s="58" t="s">
        <v>214</v>
      </c>
      <c r="C214" s="51">
        <v>223</v>
      </c>
      <c r="D214" s="33">
        <f t="shared" si="53"/>
        <v>0</v>
      </c>
      <c r="E214" s="33">
        <f t="shared" si="54"/>
        <v>0</v>
      </c>
      <c r="F214" s="33"/>
      <c r="G214" s="33">
        <f>SUM('Школы БУ'!G214+'Школы АУ'!G214)</f>
        <v>0</v>
      </c>
      <c r="H214" s="33">
        <f>SUM('Школы БУ'!H214+'Школы АУ'!H214)</f>
        <v>0</v>
      </c>
      <c r="I214" s="33">
        <f>SUM('Школы БУ'!I214+'Школы АУ'!I214)</f>
        <v>0</v>
      </c>
      <c r="J214" s="33">
        <f>SUM('Школы БУ'!J214+'Школы АУ'!J214)</f>
        <v>0</v>
      </c>
      <c r="K214" s="33">
        <f>SUM('Школы БУ'!K214+'Школы АУ'!K214)</f>
        <v>0</v>
      </c>
      <c r="L214" s="33">
        <f>SUM('Школы БУ'!L214+'Школы АУ'!L214)</f>
        <v>0</v>
      </c>
      <c r="M214" s="33">
        <f>SUM('Школы БУ'!M214+'Школы АУ'!M214)</f>
        <v>0</v>
      </c>
      <c r="N214" s="33">
        <f>SUM('Школы БУ'!N214+'Школы АУ'!N214)</f>
        <v>0</v>
      </c>
      <c r="O214" s="33">
        <f>SUM('Школы БУ'!O214+'Школы АУ'!O214)</f>
        <v>0</v>
      </c>
      <c r="P214" s="33">
        <f>SUM('Школы БУ'!P214+'Школы АУ'!P214)</f>
        <v>0</v>
      </c>
      <c r="Q214" s="33">
        <f>SUM('Школы БУ'!Q214+'Школы АУ'!Q214)</f>
        <v>0</v>
      </c>
      <c r="R214" s="33">
        <f>SUM('Школы БУ'!R214+'Школы АУ'!R214)</f>
        <v>0</v>
      </c>
      <c r="S214" s="33">
        <f>SUM('Школы БУ'!S214+'Школы АУ'!S214)</f>
        <v>0</v>
      </c>
      <c r="T214" s="33">
        <f>SUM('Школы БУ'!T214+'Школы АУ'!T214)</f>
        <v>0</v>
      </c>
    </row>
    <row r="215" spans="1:20" s="6" customFormat="1" ht="16.5" hidden="1" x14ac:dyDescent="0.25">
      <c r="A215" s="63"/>
      <c r="B215" s="58" t="s">
        <v>215</v>
      </c>
      <c r="C215" s="51">
        <v>223</v>
      </c>
      <c r="D215" s="33">
        <f t="shared" si="53"/>
        <v>0</v>
      </c>
      <c r="E215" s="33">
        <f t="shared" si="54"/>
        <v>0</v>
      </c>
      <c r="F215" s="33"/>
      <c r="G215" s="33">
        <f>SUM('Школы БУ'!G215+'Школы АУ'!G215)</f>
        <v>0</v>
      </c>
      <c r="H215" s="33">
        <f>SUM('Школы БУ'!H215+'Школы АУ'!H215)</f>
        <v>0</v>
      </c>
      <c r="I215" s="33">
        <f>SUM('Школы БУ'!I215+'Школы АУ'!I215)</f>
        <v>0</v>
      </c>
      <c r="J215" s="33">
        <f>SUM('Школы БУ'!J215+'Школы АУ'!J215)</f>
        <v>0</v>
      </c>
      <c r="K215" s="33">
        <f>SUM('Школы БУ'!K215+'Школы АУ'!K215)</f>
        <v>0</v>
      </c>
      <c r="L215" s="33">
        <f>SUM('Школы БУ'!L215+'Школы АУ'!L215)</f>
        <v>0</v>
      </c>
      <c r="M215" s="33">
        <f>SUM('Школы БУ'!M215+'Школы АУ'!M215)</f>
        <v>0</v>
      </c>
      <c r="N215" s="33">
        <f>SUM('Школы БУ'!N215+'Школы АУ'!N215)</f>
        <v>0</v>
      </c>
      <c r="O215" s="33">
        <f>SUM('Школы БУ'!O215+'Школы АУ'!O215)</f>
        <v>0</v>
      </c>
      <c r="P215" s="33">
        <f>SUM('Школы БУ'!P215+'Школы АУ'!P215)</f>
        <v>0</v>
      </c>
      <c r="Q215" s="33">
        <f>SUM('Школы БУ'!Q215+'Школы АУ'!Q215)</f>
        <v>0</v>
      </c>
      <c r="R215" s="33">
        <f>SUM('Школы БУ'!R215+'Школы АУ'!R215)</f>
        <v>0</v>
      </c>
      <c r="S215" s="33">
        <f>SUM('Школы БУ'!S215+'Школы АУ'!S215)</f>
        <v>0</v>
      </c>
      <c r="T215" s="33">
        <f>SUM('Школы БУ'!T215+'Школы АУ'!T215)</f>
        <v>0</v>
      </c>
    </row>
    <row r="216" spans="1:20" s="6" customFormat="1" ht="16.5" x14ac:dyDescent="0.25">
      <c r="A216" s="63" t="s">
        <v>236</v>
      </c>
      <c r="B216" s="58" t="s">
        <v>217</v>
      </c>
      <c r="C216" s="51">
        <v>224</v>
      </c>
      <c r="D216" s="33">
        <f t="shared" si="53"/>
        <v>0</v>
      </c>
      <c r="E216" s="33">
        <f t="shared" si="54"/>
        <v>0</v>
      </c>
      <c r="F216" s="33"/>
      <c r="G216" s="33">
        <f>SUM('Школы БУ'!G216+'Школы АУ'!G216)</f>
        <v>0</v>
      </c>
      <c r="H216" s="33">
        <f>SUM('Школы БУ'!H216+'Школы АУ'!H216)</f>
        <v>0</v>
      </c>
      <c r="I216" s="33">
        <f>SUM('Школы БУ'!I216+'Школы АУ'!I216)</f>
        <v>0</v>
      </c>
      <c r="J216" s="33">
        <f>SUM('Школы БУ'!J216+'Школы АУ'!J216)</f>
        <v>0</v>
      </c>
      <c r="K216" s="33">
        <f>SUM('Школы БУ'!K216+'Школы АУ'!K216)</f>
        <v>0</v>
      </c>
      <c r="L216" s="33">
        <f>SUM('Школы БУ'!L216+'Школы АУ'!L216)</f>
        <v>0</v>
      </c>
      <c r="M216" s="33">
        <f>SUM('Школы БУ'!M216+'Школы АУ'!M216)</f>
        <v>0</v>
      </c>
      <c r="N216" s="33">
        <f>SUM('Школы БУ'!N216+'Школы АУ'!N216)</f>
        <v>0</v>
      </c>
      <c r="O216" s="33">
        <f>SUM('Школы БУ'!O216+'Школы АУ'!O216)</f>
        <v>0</v>
      </c>
      <c r="P216" s="33">
        <f>SUM('Школы БУ'!P216+'Школы АУ'!P216)</f>
        <v>0</v>
      </c>
      <c r="Q216" s="33">
        <f>SUM('Школы БУ'!Q216+'Школы АУ'!Q216)</f>
        <v>0</v>
      </c>
      <c r="R216" s="33">
        <f>SUM('Школы БУ'!R216+'Школы АУ'!R216)</f>
        <v>0</v>
      </c>
      <c r="S216" s="33">
        <f>SUM('Школы БУ'!S216+'Школы АУ'!S216)</f>
        <v>0</v>
      </c>
      <c r="T216" s="33">
        <f>SUM('Школы БУ'!T216+'Школы АУ'!T216)</f>
        <v>0</v>
      </c>
    </row>
    <row r="217" spans="1:20" s="6" customFormat="1" ht="16.5" x14ac:dyDescent="0.25">
      <c r="A217" s="63" t="s">
        <v>237</v>
      </c>
      <c r="B217" s="58" t="s">
        <v>219</v>
      </c>
      <c r="C217" s="51">
        <v>225</v>
      </c>
      <c r="D217" s="33">
        <f t="shared" si="53"/>
        <v>0</v>
      </c>
      <c r="E217" s="33">
        <f t="shared" si="54"/>
        <v>0</v>
      </c>
      <c r="F217" s="33"/>
      <c r="G217" s="33">
        <f>SUM('Школы БУ'!G217+'Школы АУ'!G217)</f>
        <v>0</v>
      </c>
      <c r="H217" s="33">
        <f>SUM('Школы БУ'!H217+'Школы АУ'!H217)</f>
        <v>0</v>
      </c>
      <c r="I217" s="33">
        <f>SUM('Школы БУ'!I217+'Школы АУ'!I217)</f>
        <v>0</v>
      </c>
      <c r="J217" s="33">
        <f>SUM('Школы БУ'!J217+'Школы АУ'!J217)</f>
        <v>0</v>
      </c>
      <c r="K217" s="33">
        <f>SUM('Школы БУ'!K217+'Школы АУ'!K217)</f>
        <v>0</v>
      </c>
      <c r="L217" s="33">
        <f>SUM('Школы БУ'!L217+'Школы АУ'!L217)</f>
        <v>0</v>
      </c>
      <c r="M217" s="33">
        <f>SUM('Школы БУ'!M217+'Школы АУ'!M217)</f>
        <v>0</v>
      </c>
      <c r="N217" s="33">
        <f>SUM('Школы БУ'!N217+'Школы АУ'!N217)</f>
        <v>0</v>
      </c>
      <c r="O217" s="33">
        <f>SUM('Школы БУ'!O217+'Школы АУ'!O217)</f>
        <v>0</v>
      </c>
      <c r="P217" s="33">
        <f>SUM('Школы БУ'!P217+'Школы АУ'!P217)</f>
        <v>0</v>
      </c>
      <c r="Q217" s="33">
        <f>SUM('Школы БУ'!Q217+'Школы АУ'!Q217)</f>
        <v>0</v>
      </c>
      <c r="R217" s="33">
        <f>SUM('Школы БУ'!R217+'Школы АУ'!R217)</f>
        <v>0</v>
      </c>
      <c r="S217" s="33">
        <f>SUM('Школы БУ'!S217+'Школы АУ'!S217)</f>
        <v>0</v>
      </c>
      <c r="T217" s="33">
        <f>SUM('Школы БУ'!T217+'Школы АУ'!T217)</f>
        <v>0</v>
      </c>
    </row>
    <row r="218" spans="1:20" s="6" customFormat="1" ht="16.5" x14ac:dyDescent="0.25">
      <c r="A218" s="63" t="s">
        <v>238</v>
      </c>
      <c r="B218" s="28" t="s">
        <v>64</v>
      </c>
      <c r="C218" s="51">
        <v>225</v>
      </c>
      <c r="D218" s="33">
        <f t="shared" si="53"/>
        <v>535364.38</v>
      </c>
      <c r="E218" s="33">
        <f t="shared" si="54"/>
        <v>59186.39</v>
      </c>
      <c r="F218" s="33"/>
      <c r="G218" s="33">
        <f>SUM('Школы БУ'!G218+'Школы АУ'!G218)</f>
        <v>0</v>
      </c>
      <c r="H218" s="33">
        <f>SUM('Школы БУ'!H218+'Школы АУ'!H218)</f>
        <v>0</v>
      </c>
      <c r="I218" s="33">
        <f>SUM('Школы БУ'!I218+'Школы АУ'!I218)</f>
        <v>0</v>
      </c>
      <c r="J218" s="33">
        <f>SUM('Школы БУ'!J218+'Школы АУ'!J218)</f>
        <v>0</v>
      </c>
      <c r="K218" s="33">
        <f>SUM('Школы БУ'!K218+'Школы АУ'!K218)</f>
        <v>0</v>
      </c>
      <c r="L218" s="33">
        <f>SUM('Школы БУ'!L218+'Школы АУ'!L218)</f>
        <v>0</v>
      </c>
      <c r="M218" s="33">
        <f>SUM('Школы БУ'!M218+'Школы АУ'!M218)</f>
        <v>0</v>
      </c>
      <c r="N218" s="33">
        <f>SUM('Школы БУ'!N218+'Школы АУ'!N218)</f>
        <v>0</v>
      </c>
      <c r="O218" s="33">
        <f>SUM('Школы БУ'!O218+'Школы АУ'!O218)</f>
        <v>0</v>
      </c>
      <c r="P218" s="33">
        <f>SUM('Школы БУ'!P218+'Школы АУ'!P218)</f>
        <v>0</v>
      </c>
      <c r="Q218" s="33">
        <f>SUM('Школы БУ'!Q218+'Школы АУ'!Q218)</f>
        <v>0</v>
      </c>
      <c r="R218" s="33">
        <f>SUM('Школы БУ'!R218+'Школы АУ'!R218)</f>
        <v>0</v>
      </c>
      <c r="S218" s="33">
        <f>SUM('Школы БУ'!S218+'Школы АУ'!S218)</f>
        <v>535364.38</v>
      </c>
      <c r="T218" s="33">
        <f>SUM('Школы БУ'!T218+'Школы АУ'!T218)</f>
        <v>59186.39</v>
      </c>
    </row>
    <row r="219" spans="1:20" s="6" customFormat="1" ht="16.5" x14ac:dyDescent="0.25">
      <c r="A219" s="63" t="s">
        <v>239</v>
      </c>
      <c r="B219" s="28" t="s">
        <v>66</v>
      </c>
      <c r="C219" s="51">
        <v>226</v>
      </c>
      <c r="D219" s="33">
        <f t="shared" ref="D219:D258" si="62">SUM(G219+I219+K219+M219+O219+Q219+S219)</f>
        <v>734703.66</v>
      </c>
      <c r="E219" s="33">
        <f t="shared" ref="E219:E258" si="63">SUM(H219+J219+L219+N219+P219+R219+T219)</f>
        <v>331882.96000000002</v>
      </c>
      <c r="F219" s="33"/>
      <c r="G219" s="33">
        <f>SUM('Школы БУ'!G219+'Школы АУ'!G219)</f>
        <v>0</v>
      </c>
      <c r="H219" s="33">
        <f>SUM('Школы БУ'!H219+'Школы АУ'!H219)</f>
        <v>0</v>
      </c>
      <c r="I219" s="33">
        <f>SUM('Школы БУ'!I219+'Школы АУ'!I219)</f>
        <v>0</v>
      </c>
      <c r="J219" s="33">
        <f>SUM('Школы БУ'!J219+'Школы АУ'!J219)</f>
        <v>0</v>
      </c>
      <c r="K219" s="33">
        <f>SUM('Школы БУ'!K219+'Школы АУ'!K219)</f>
        <v>0</v>
      </c>
      <c r="L219" s="33">
        <f>SUM('Школы БУ'!L219+'Школы АУ'!L219)</f>
        <v>0</v>
      </c>
      <c r="M219" s="33">
        <f>SUM('Школы БУ'!M219+'Школы АУ'!M219)</f>
        <v>0</v>
      </c>
      <c r="N219" s="33">
        <f>SUM('Школы БУ'!N219+'Школы АУ'!N219)</f>
        <v>0</v>
      </c>
      <c r="O219" s="33">
        <f>SUM('Школы БУ'!O219+'Школы АУ'!O219)</f>
        <v>0</v>
      </c>
      <c r="P219" s="33">
        <f>SUM('Школы БУ'!P219+'Школы АУ'!P219)</f>
        <v>0</v>
      </c>
      <c r="Q219" s="33">
        <f>SUM('Школы БУ'!Q219+'Школы АУ'!Q219)</f>
        <v>0</v>
      </c>
      <c r="R219" s="33">
        <f>SUM('Школы БУ'!R219+'Школы АУ'!R219)</f>
        <v>0</v>
      </c>
      <c r="S219" s="33">
        <f>SUM('Школы БУ'!S219+'Школы АУ'!S219)</f>
        <v>734703.66</v>
      </c>
      <c r="T219" s="33">
        <f>SUM('Школы БУ'!T219+'Школы АУ'!T219)</f>
        <v>331882.96000000002</v>
      </c>
    </row>
    <row r="220" spans="1:20" s="6" customFormat="1" ht="16.5" x14ac:dyDescent="0.25">
      <c r="A220" s="63" t="s">
        <v>240</v>
      </c>
      <c r="B220" s="28" t="s">
        <v>68</v>
      </c>
      <c r="C220" s="51">
        <v>290</v>
      </c>
      <c r="D220" s="33">
        <f t="shared" si="62"/>
        <v>119138.27</v>
      </c>
      <c r="E220" s="33">
        <f t="shared" si="63"/>
        <v>49835.369999999995</v>
      </c>
      <c r="F220" s="33"/>
      <c r="G220" s="33">
        <f>SUM('Школы БУ'!G220+'Школы АУ'!G220)</f>
        <v>0</v>
      </c>
      <c r="H220" s="33">
        <f>SUM('Школы БУ'!H220+'Школы АУ'!H220)</f>
        <v>0</v>
      </c>
      <c r="I220" s="33">
        <f>SUM('Школы БУ'!I220+'Школы АУ'!I220)</f>
        <v>0</v>
      </c>
      <c r="J220" s="33">
        <f>SUM('Школы БУ'!J220+'Школы АУ'!J220)</f>
        <v>0</v>
      </c>
      <c r="K220" s="33">
        <f>SUM('Школы БУ'!K220+'Школы АУ'!K220)</f>
        <v>0</v>
      </c>
      <c r="L220" s="33">
        <f>SUM('Школы БУ'!L220+'Школы АУ'!L220)</f>
        <v>0</v>
      </c>
      <c r="M220" s="33">
        <f>SUM('Школы БУ'!M220+'Школы АУ'!M220)</f>
        <v>0</v>
      </c>
      <c r="N220" s="33">
        <f>SUM('Школы БУ'!N220+'Школы АУ'!N220)</f>
        <v>0</v>
      </c>
      <c r="O220" s="33">
        <f>SUM('Школы БУ'!O220+'Школы АУ'!O220)</f>
        <v>0</v>
      </c>
      <c r="P220" s="33">
        <f>SUM('Школы БУ'!P220+'Школы АУ'!P220)</f>
        <v>0</v>
      </c>
      <c r="Q220" s="33">
        <f>SUM('Школы БУ'!Q220+'Школы АУ'!Q220)</f>
        <v>0</v>
      </c>
      <c r="R220" s="33">
        <f>SUM('Школы БУ'!R220+'Школы АУ'!R220)</f>
        <v>0</v>
      </c>
      <c r="S220" s="33">
        <f>SUM('Школы БУ'!S220+'Школы АУ'!S220)</f>
        <v>119138.27</v>
      </c>
      <c r="T220" s="33">
        <f>SUM('Школы БУ'!T220+'Школы АУ'!T220)</f>
        <v>49835.369999999995</v>
      </c>
    </row>
    <row r="221" spans="1:20" s="6" customFormat="1" ht="16.5" x14ac:dyDescent="0.25">
      <c r="A221" s="63" t="s">
        <v>241</v>
      </c>
      <c r="B221" s="58" t="s">
        <v>72</v>
      </c>
      <c r="C221" s="51">
        <v>310</v>
      </c>
      <c r="D221" s="33">
        <f t="shared" si="62"/>
        <v>898615.76</v>
      </c>
      <c r="E221" s="33">
        <f t="shared" si="63"/>
        <v>130868.5</v>
      </c>
      <c r="F221" s="33"/>
      <c r="G221" s="33">
        <f>SUM('Школы БУ'!G221+'Школы АУ'!G221)</f>
        <v>0</v>
      </c>
      <c r="H221" s="33">
        <f>SUM('Школы БУ'!H221+'Школы АУ'!H221)</f>
        <v>0</v>
      </c>
      <c r="I221" s="33">
        <f>SUM('Школы БУ'!I221+'Школы АУ'!I221)</f>
        <v>0</v>
      </c>
      <c r="J221" s="33">
        <f>SUM('Школы БУ'!J221+'Школы АУ'!J221)</f>
        <v>0</v>
      </c>
      <c r="K221" s="33">
        <f>SUM('Школы БУ'!K221+'Школы АУ'!K221)</f>
        <v>0</v>
      </c>
      <c r="L221" s="33">
        <f>SUM('Школы БУ'!L221+'Школы АУ'!L221)</f>
        <v>0</v>
      </c>
      <c r="M221" s="33">
        <f>SUM('Школы БУ'!M221+'Школы АУ'!M221)</f>
        <v>0</v>
      </c>
      <c r="N221" s="33">
        <f>SUM('Школы БУ'!N221+'Школы АУ'!N221)</f>
        <v>0</v>
      </c>
      <c r="O221" s="33">
        <f>SUM('Школы БУ'!O221+'Школы АУ'!O221)</f>
        <v>0</v>
      </c>
      <c r="P221" s="33">
        <f>SUM('Школы БУ'!P221+'Школы АУ'!P221)</f>
        <v>0</v>
      </c>
      <c r="Q221" s="33">
        <f>SUM('Школы БУ'!Q221+'Школы АУ'!Q221)</f>
        <v>0</v>
      </c>
      <c r="R221" s="33">
        <f>SUM('Школы БУ'!R221+'Школы АУ'!R221)</f>
        <v>0</v>
      </c>
      <c r="S221" s="33">
        <f>SUM('Школы БУ'!S221+'Школы АУ'!S221)</f>
        <v>898615.76</v>
      </c>
      <c r="T221" s="33">
        <f>SUM('Школы БУ'!T221+'Школы АУ'!T221)</f>
        <v>130868.5</v>
      </c>
    </row>
    <row r="222" spans="1:20" s="6" customFormat="1" ht="16.5" x14ac:dyDescent="0.25">
      <c r="A222" s="63" t="s">
        <v>242</v>
      </c>
      <c r="B222" s="58" t="s">
        <v>243</v>
      </c>
      <c r="C222" s="51">
        <v>340</v>
      </c>
      <c r="D222" s="33">
        <f t="shared" si="62"/>
        <v>3267794.87</v>
      </c>
      <c r="E222" s="33">
        <f t="shared" si="63"/>
        <v>495312.97</v>
      </c>
      <c r="F222" s="33"/>
      <c r="G222" s="33">
        <f>SUM('Школы БУ'!G222+'Школы АУ'!G222)</f>
        <v>0</v>
      </c>
      <c r="H222" s="33">
        <f>SUM('Школы БУ'!H222+'Школы АУ'!H222)</f>
        <v>0</v>
      </c>
      <c r="I222" s="33">
        <f>SUM('Школы БУ'!I222+'Школы АУ'!I222)</f>
        <v>0</v>
      </c>
      <c r="J222" s="33">
        <f>SUM('Школы БУ'!J222+'Школы АУ'!J222)</f>
        <v>0</v>
      </c>
      <c r="K222" s="33">
        <f>SUM('Школы БУ'!K222+'Школы АУ'!K222)</f>
        <v>0</v>
      </c>
      <c r="L222" s="33">
        <f>SUM('Школы БУ'!L222+'Школы АУ'!L222)</f>
        <v>0</v>
      </c>
      <c r="M222" s="33">
        <f>SUM('Школы БУ'!M222+'Школы АУ'!M222)</f>
        <v>0</v>
      </c>
      <c r="N222" s="33">
        <f>SUM('Школы БУ'!N222+'Школы АУ'!N222)</f>
        <v>0</v>
      </c>
      <c r="O222" s="33">
        <f>SUM('Школы БУ'!O222+'Школы АУ'!O222)</f>
        <v>0</v>
      </c>
      <c r="P222" s="33">
        <f>SUM('Школы БУ'!P222+'Школы АУ'!P222)</f>
        <v>0</v>
      </c>
      <c r="Q222" s="33">
        <f>SUM('Школы БУ'!Q222+'Школы АУ'!Q222)</f>
        <v>0</v>
      </c>
      <c r="R222" s="33">
        <f>SUM('Школы БУ'!R222+'Школы АУ'!R222)</f>
        <v>0</v>
      </c>
      <c r="S222" s="33">
        <f>SUM('Школы БУ'!S222+'Школы АУ'!S222)</f>
        <v>3267794.87</v>
      </c>
      <c r="T222" s="33">
        <f>SUM('Школы БУ'!T222+'Школы АУ'!T222)</f>
        <v>495312.97</v>
      </c>
    </row>
    <row r="223" spans="1:20" s="18" customFormat="1" ht="17.25" x14ac:dyDescent="0.25">
      <c r="A223" s="61" t="s">
        <v>244</v>
      </c>
      <c r="B223" s="62" t="s">
        <v>40</v>
      </c>
      <c r="C223" s="49"/>
      <c r="D223" s="34">
        <f t="shared" ref="D223:S223" si="64">SUM(D224+D225+D226+D227+D228+D229+D233+D234+D235+D236+D237+D238+D239+D240)</f>
        <v>3086102.46</v>
      </c>
      <c r="E223" s="34">
        <f t="shared" si="64"/>
        <v>748812.35</v>
      </c>
      <c r="F223" s="34"/>
      <c r="G223" s="34">
        <f t="shared" si="64"/>
        <v>0</v>
      </c>
      <c r="H223" s="34">
        <f t="shared" si="64"/>
        <v>0</v>
      </c>
      <c r="I223" s="34">
        <f t="shared" si="64"/>
        <v>0</v>
      </c>
      <c r="J223" s="34">
        <f t="shared" si="64"/>
        <v>0</v>
      </c>
      <c r="K223" s="34">
        <f t="shared" si="64"/>
        <v>0</v>
      </c>
      <c r="L223" s="34">
        <f t="shared" si="64"/>
        <v>0</v>
      </c>
      <c r="M223" s="34">
        <f t="shared" si="64"/>
        <v>0</v>
      </c>
      <c r="N223" s="34">
        <f t="shared" si="64"/>
        <v>0</v>
      </c>
      <c r="O223" s="34">
        <f t="shared" si="64"/>
        <v>0</v>
      </c>
      <c r="P223" s="34">
        <f t="shared" si="64"/>
        <v>0</v>
      </c>
      <c r="Q223" s="34">
        <f t="shared" si="64"/>
        <v>0</v>
      </c>
      <c r="R223" s="34">
        <f t="shared" si="64"/>
        <v>0</v>
      </c>
      <c r="S223" s="34">
        <f t="shared" si="64"/>
        <v>3086102.46</v>
      </c>
      <c r="T223" s="34">
        <f t="shared" ref="T223" si="65">SUM(T224+T225+T226+T227+T228+T229+T233+T234+T235+T236+T237+T238+T239+T240)</f>
        <v>748812.35</v>
      </c>
    </row>
    <row r="224" spans="1:20" s="6" customFormat="1" ht="16.5" x14ac:dyDescent="0.25">
      <c r="A224" s="63" t="s">
        <v>245</v>
      </c>
      <c r="B224" s="28" t="s">
        <v>47</v>
      </c>
      <c r="C224" s="51">
        <v>211</v>
      </c>
      <c r="D224" s="33">
        <f t="shared" si="62"/>
        <v>0</v>
      </c>
      <c r="E224" s="33">
        <f t="shared" si="63"/>
        <v>0</v>
      </c>
      <c r="F224" s="33"/>
      <c r="G224" s="33">
        <f>SUM('Школы БУ'!G224+'Школы АУ'!G224)</f>
        <v>0</v>
      </c>
      <c r="H224" s="33">
        <f>SUM('Школы БУ'!H224+'Школы АУ'!H224)</f>
        <v>0</v>
      </c>
      <c r="I224" s="33">
        <f>SUM('Школы БУ'!I224+'Школы АУ'!I224)</f>
        <v>0</v>
      </c>
      <c r="J224" s="33">
        <f>SUM('Школы БУ'!J224+'Школы АУ'!J224)</f>
        <v>0</v>
      </c>
      <c r="K224" s="33">
        <f>SUM('Школы БУ'!K224+'Школы АУ'!K224)</f>
        <v>0</v>
      </c>
      <c r="L224" s="33">
        <f>SUM('Школы БУ'!L224+'Школы АУ'!L224)</f>
        <v>0</v>
      </c>
      <c r="M224" s="33">
        <f>SUM('Школы БУ'!M224+'Школы АУ'!M224)</f>
        <v>0</v>
      </c>
      <c r="N224" s="33">
        <f>SUM('Школы БУ'!N224+'Школы АУ'!N224)</f>
        <v>0</v>
      </c>
      <c r="O224" s="33">
        <f>SUM('Школы БУ'!O224+'Школы АУ'!O224)</f>
        <v>0</v>
      </c>
      <c r="P224" s="33">
        <f>SUM('Школы БУ'!P224+'Школы АУ'!P224)</f>
        <v>0</v>
      </c>
      <c r="Q224" s="33">
        <f>SUM('Школы БУ'!Q224+'Школы АУ'!Q224)</f>
        <v>0</v>
      </c>
      <c r="R224" s="33">
        <f>SUM('Школы БУ'!R224+'Школы АУ'!R224)</f>
        <v>0</v>
      </c>
      <c r="S224" s="33">
        <f>SUM('Школы БУ'!S224+'Школы АУ'!S224)</f>
        <v>0</v>
      </c>
      <c r="T224" s="33">
        <f>SUM('Школы БУ'!T224+'Школы АУ'!T224)</f>
        <v>0</v>
      </c>
    </row>
    <row r="225" spans="1:20" s="6" customFormat="1" ht="16.5" x14ac:dyDescent="0.25">
      <c r="A225" s="63" t="s">
        <v>246</v>
      </c>
      <c r="B225" s="28" t="s">
        <v>49</v>
      </c>
      <c r="C225" s="51">
        <v>212</v>
      </c>
      <c r="D225" s="33">
        <f t="shared" si="62"/>
        <v>0</v>
      </c>
      <c r="E225" s="33">
        <f t="shared" si="63"/>
        <v>0</v>
      </c>
      <c r="F225" s="33"/>
      <c r="G225" s="33">
        <f>SUM('Школы БУ'!G225+'Школы АУ'!G225)</f>
        <v>0</v>
      </c>
      <c r="H225" s="33">
        <f>SUM('Школы БУ'!H225+'Школы АУ'!H225)</f>
        <v>0</v>
      </c>
      <c r="I225" s="33">
        <f>SUM('Школы БУ'!I225+'Школы АУ'!I225)</f>
        <v>0</v>
      </c>
      <c r="J225" s="33">
        <f>SUM('Школы БУ'!J225+'Школы АУ'!J225)</f>
        <v>0</v>
      </c>
      <c r="K225" s="33">
        <f>SUM('Школы БУ'!K225+'Школы АУ'!K225)</f>
        <v>0</v>
      </c>
      <c r="L225" s="33">
        <f>SUM('Школы БУ'!L225+'Школы АУ'!L225)</f>
        <v>0</v>
      </c>
      <c r="M225" s="33">
        <f>SUM('Школы БУ'!M225+'Школы АУ'!M225)</f>
        <v>0</v>
      </c>
      <c r="N225" s="33">
        <f>SUM('Школы БУ'!N225+'Школы АУ'!N225)</f>
        <v>0</v>
      </c>
      <c r="O225" s="33">
        <f>SUM('Школы БУ'!O225+'Школы АУ'!O225)</f>
        <v>0</v>
      </c>
      <c r="P225" s="33">
        <f>SUM('Школы БУ'!P225+'Школы АУ'!P225)</f>
        <v>0</v>
      </c>
      <c r="Q225" s="33">
        <f>SUM('Школы БУ'!Q225+'Школы АУ'!Q225)</f>
        <v>0</v>
      </c>
      <c r="R225" s="33">
        <f>SUM('Школы БУ'!R225+'Школы АУ'!R225)</f>
        <v>0</v>
      </c>
      <c r="S225" s="33">
        <f>SUM('Школы БУ'!S225+'Школы АУ'!S225)</f>
        <v>0</v>
      </c>
      <c r="T225" s="33">
        <f>SUM('Школы БУ'!T225+'Школы АУ'!T225)</f>
        <v>0</v>
      </c>
    </row>
    <row r="226" spans="1:20" s="6" customFormat="1" ht="16.5" x14ac:dyDescent="0.25">
      <c r="A226" s="63" t="s">
        <v>247</v>
      </c>
      <c r="B226" s="28" t="s">
        <v>51</v>
      </c>
      <c r="C226" s="51">
        <v>213</v>
      </c>
      <c r="D226" s="33">
        <f t="shared" si="62"/>
        <v>0</v>
      </c>
      <c r="E226" s="33">
        <f t="shared" si="63"/>
        <v>0</v>
      </c>
      <c r="F226" s="33"/>
      <c r="G226" s="33">
        <f>SUM('Школы БУ'!G226+'Школы АУ'!G226)</f>
        <v>0</v>
      </c>
      <c r="H226" s="33">
        <f>SUM('Школы БУ'!H226+'Школы АУ'!H226)</f>
        <v>0</v>
      </c>
      <c r="I226" s="33">
        <f>SUM('Школы БУ'!I226+'Школы АУ'!I226)</f>
        <v>0</v>
      </c>
      <c r="J226" s="33">
        <f>SUM('Школы БУ'!J226+'Школы АУ'!J226)</f>
        <v>0</v>
      </c>
      <c r="K226" s="33">
        <f>SUM('Школы БУ'!K226+'Школы АУ'!K226)</f>
        <v>0</v>
      </c>
      <c r="L226" s="33">
        <f>SUM('Школы БУ'!L226+'Школы АУ'!L226)</f>
        <v>0</v>
      </c>
      <c r="M226" s="33">
        <f>SUM('Школы БУ'!M226+'Школы АУ'!M226)</f>
        <v>0</v>
      </c>
      <c r="N226" s="33">
        <f>SUM('Школы БУ'!N226+'Школы АУ'!N226)</f>
        <v>0</v>
      </c>
      <c r="O226" s="33">
        <f>SUM('Школы БУ'!O226+'Школы АУ'!O226)</f>
        <v>0</v>
      </c>
      <c r="P226" s="33">
        <f>SUM('Школы БУ'!P226+'Школы АУ'!P226)</f>
        <v>0</v>
      </c>
      <c r="Q226" s="33">
        <f>SUM('Школы БУ'!Q226+'Школы АУ'!Q226)</f>
        <v>0</v>
      </c>
      <c r="R226" s="33">
        <f>SUM('Школы БУ'!R226+'Школы АУ'!R226)</f>
        <v>0</v>
      </c>
      <c r="S226" s="33">
        <f>SUM('Школы БУ'!S226+'Школы АУ'!S226)</f>
        <v>0</v>
      </c>
      <c r="T226" s="33">
        <f>SUM('Школы БУ'!T226+'Школы АУ'!T226)</f>
        <v>0</v>
      </c>
    </row>
    <row r="227" spans="1:20" s="6" customFormat="1" ht="16.5" x14ac:dyDescent="0.25">
      <c r="A227" s="63" t="s">
        <v>248</v>
      </c>
      <c r="B227" s="28" t="s">
        <v>53</v>
      </c>
      <c r="C227" s="51">
        <v>221</v>
      </c>
      <c r="D227" s="33">
        <f t="shared" si="62"/>
        <v>0</v>
      </c>
      <c r="E227" s="33">
        <f t="shared" si="63"/>
        <v>0</v>
      </c>
      <c r="F227" s="33"/>
      <c r="G227" s="33">
        <f>SUM('Школы БУ'!G227+'Школы АУ'!G227)</f>
        <v>0</v>
      </c>
      <c r="H227" s="33">
        <f>SUM('Школы БУ'!H227+'Школы АУ'!H227)</f>
        <v>0</v>
      </c>
      <c r="I227" s="33">
        <f>SUM('Школы БУ'!I227+'Школы АУ'!I227)</f>
        <v>0</v>
      </c>
      <c r="J227" s="33">
        <f>SUM('Школы БУ'!J227+'Школы АУ'!J227)</f>
        <v>0</v>
      </c>
      <c r="K227" s="33">
        <f>SUM('Школы БУ'!K227+'Школы АУ'!K227)</f>
        <v>0</v>
      </c>
      <c r="L227" s="33">
        <f>SUM('Школы БУ'!L227+'Школы АУ'!L227)</f>
        <v>0</v>
      </c>
      <c r="M227" s="33">
        <f>SUM('Школы БУ'!M227+'Школы АУ'!M227)</f>
        <v>0</v>
      </c>
      <c r="N227" s="33">
        <f>SUM('Школы БУ'!N227+'Школы АУ'!N227)</f>
        <v>0</v>
      </c>
      <c r="O227" s="33">
        <f>SUM('Школы БУ'!O227+'Школы АУ'!O227)</f>
        <v>0</v>
      </c>
      <c r="P227" s="33">
        <f>SUM('Школы БУ'!P227+'Школы АУ'!P227)</f>
        <v>0</v>
      </c>
      <c r="Q227" s="33">
        <f>SUM('Школы БУ'!Q227+'Школы АУ'!Q227)</f>
        <v>0</v>
      </c>
      <c r="R227" s="33">
        <f>SUM('Школы БУ'!R227+'Школы АУ'!R227)</f>
        <v>0</v>
      </c>
      <c r="S227" s="33">
        <f>SUM('Школы БУ'!S227+'Школы АУ'!S227)</f>
        <v>0</v>
      </c>
      <c r="T227" s="33">
        <f>SUM('Школы БУ'!T227+'Школы АУ'!T227)</f>
        <v>0</v>
      </c>
    </row>
    <row r="228" spans="1:20" s="6" customFormat="1" ht="16.5" x14ac:dyDescent="0.25">
      <c r="A228" s="63" t="s">
        <v>249</v>
      </c>
      <c r="B228" s="28" t="s">
        <v>55</v>
      </c>
      <c r="C228" s="51">
        <v>222</v>
      </c>
      <c r="D228" s="33">
        <f t="shared" si="62"/>
        <v>0</v>
      </c>
      <c r="E228" s="33">
        <f t="shared" si="63"/>
        <v>0</v>
      </c>
      <c r="F228" s="33"/>
      <c r="G228" s="33">
        <f>SUM('Школы БУ'!G228+'Школы АУ'!G228)</f>
        <v>0</v>
      </c>
      <c r="H228" s="33">
        <f>SUM('Школы БУ'!H228+'Школы АУ'!H228)</f>
        <v>0</v>
      </c>
      <c r="I228" s="33">
        <f>SUM('Школы БУ'!I228+'Школы АУ'!I228)</f>
        <v>0</v>
      </c>
      <c r="J228" s="33">
        <f>SUM('Школы БУ'!J228+'Школы АУ'!J228)</f>
        <v>0</v>
      </c>
      <c r="K228" s="33">
        <f>SUM('Школы БУ'!K228+'Школы АУ'!K228)</f>
        <v>0</v>
      </c>
      <c r="L228" s="33">
        <f>SUM('Школы БУ'!L228+'Школы АУ'!L228)</f>
        <v>0</v>
      </c>
      <c r="M228" s="33">
        <f>SUM('Школы БУ'!M228+'Школы АУ'!M228)</f>
        <v>0</v>
      </c>
      <c r="N228" s="33">
        <f>SUM('Школы БУ'!N228+'Школы АУ'!N228)</f>
        <v>0</v>
      </c>
      <c r="O228" s="33">
        <f>SUM('Школы БУ'!O228+'Школы АУ'!O228)</f>
        <v>0</v>
      </c>
      <c r="P228" s="33">
        <f>SUM('Школы БУ'!P228+'Школы АУ'!P228)</f>
        <v>0</v>
      </c>
      <c r="Q228" s="33">
        <f>SUM('Школы БУ'!Q228+'Школы АУ'!Q228)</f>
        <v>0</v>
      </c>
      <c r="R228" s="33">
        <f>SUM('Школы БУ'!R228+'Школы АУ'!R228)</f>
        <v>0</v>
      </c>
      <c r="S228" s="33">
        <f>SUM('Школы БУ'!S228+'Школы АУ'!S228)</f>
        <v>0</v>
      </c>
      <c r="T228" s="33">
        <f>SUM('Школы БУ'!T228+'Школы АУ'!T228)</f>
        <v>0</v>
      </c>
    </row>
    <row r="229" spans="1:20" s="6" customFormat="1" ht="16.5" x14ac:dyDescent="0.25">
      <c r="A229" s="63" t="s">
        <v>250</v>
      </c>
      <c r="B229" s="28" t="s">
        <v>57</v>
      </c>
      <c r="C229" s="51">
        <v>223</v>
      </c>
      <c r="D229" s="33">
        <f t="shared" si="62"/>
        <v>0</v>
      </c>
      <c r="E229" s="33">
        <f t="shared" si="63"/>
        <v>0</v>
      </c>
      <c r="F229" s="33"/>
      <c r="G229" s="33">
        <f>SUM('Школы БУ'!G229+'Школы АУ'!G229)</f>
        <v>0</v>
      </c>
      <c r="H229" s="33">
        <f>SUM('Школы БУ'!H229+'Школы АУ'!H229)</f>
        <v>0</v>
      </c>
      <c r="I229" s="33">
        <f>SUM('Школы БУ'!I229+'Школы АУ'!I229)</f>
        <v>0</v>
      </c>
      <c r="J229" s="33">
        <f>SUM('Школы БУ'!J229+'Школы АУ'!J229)</f>
        <v>0</v>
      </c>
      <c r="K229" s="33">
        <f>SUM('Школы БУ'!K229+'Школы АУ'!K229)</f>
        <v>0</v>
      </c>
      <c r="L229" s="33">
        <f>SUM('Школы БУ'!L229+'Школы АУ'!L229)</f>
        <v>0</v>
      </c>
      <c r="M229" s="33">
        <f>SUM('Школы БУ'!M229+'Школы АУ'!M229)</f>
        <v>0</v>
      </c>
      <c r="N229" s="33">
        <f>SUM('Школы БУ'!N229+'Школы АУ'!N229)</f>
        <v>0</v>
      </c>
      <c r="O229" s="33">
        <f>SUM('Школы БУ'!O229+'Школы АУ'!O229)</f>
        <v>0</v>
      </c>
      <c r="P229" s="33">
        <f>SUM('Школы БУ'!P229+'Школы АУ'!P229)</f>
        <v>0</v>
      </c>
      <c r="Q229" s="33">
        <f>SUM('Школы БУ'!Q229+'Школы АУ'!Q229)</f>
        <v>0</v>
      </c>
      <c r="R229" s="33">
        <f>SUM('Школы БУ'!R229+'Школы АУ'!R229)</f>
        <v>0</v>
      </c>
      <c r="S229" s="33">
        <f>SUM('Школы БУ'!S229+'Школы АУ'!S229)</f>
        <v>0</v>
      </c>
      <c r="T229" s="33">
        <f>SUM('Школы БУ'!T229+'Школы АУ'!T229)</f>
        <v>0</v>
      </c>
    </row>
    <row r="230" spans="1:20" s="6" customFormat="1" ht="16.5" x14ac:dyDescent="0.25">
      <c r="A230" s="63"/>
      <c r="B230" s="58" t="s">
        <v>213</v>
      </c>
      <c r="C230" s="51">
        <v>223</v>
      </c>
      <c r="D230" s="33">
        <f t="shared" si="62"/>
        <v>0</v>
      </c>
      <c r="E230" s="33">
        <f t="shared" si="63"/>
        <v>0</v>
      </c>
      <c r="F230" s="33"/>
      <c r="G230" s="33">
        <f>SUM('Школы БУ'!G230+'Школы АУ'!G230)</f>
        <v>0</v>
      </c>
      <c r="H230" s="33">
        <f>SUM('Школы БУ'!H230+'Школы АУ'!H230)</f>
        <v>0</v>
      </c>
      <c r="I230" s="33">
        <f>SUM('Школы БУ'!I230+'Школы АУ'!I230)</f>
        <v>0</v>
      </c>
      <c r="J230" s="33">
        <f>SUM('Школы БУ'!J230+'Школы АУ'!J230)</f>
        <v>0</v>
      </c>
      <c r="K230" s="33">
        <f>SUM('Школы БУ'!K230+'Школы АУ'!K230)</f>
        <v>0</v>
      </c>
      <c r="L230" s="33">
        <f>SUM('Школы БУ'!L230+'Школы АУ'!L230)</f>
        <v>0</v>
      </c>
      <c r="M230" s="33">
        <f>SUM('Школы БУ'!M230+'Школы АУ'!M230)</f>
        <v>0</v>
      </c>
      <c r="N230" s="33">
        <f>SUM('Школы БУ'!N230+'Школы АУ'!N230)</f>
        <v>0</v>
      </c>
      <c r="O230" s="33">
        <f>SUM('Школы БУ'!O230+'Школы АУ'!O230)</f>
        <v>0</v>
      </c>
      <c r="P230" s="33">
        <f>SUM('Школы БУ'!P230+'Школы АУ'!P230)</f>
        <v>0</v>
      </c>
      <c r="Q230" s="33">
        <f>SUM('Школы БУ'!Q230+'Школы АУ'!Q230)</f>
        <v>0</v>
      </c>
      <c r="R230" s="33">
        <f>SUM('Школы БУ'!R230+'Школы АУ'!R230)</f>
        <v>0</v>
      </c>
      <c r="S230" s="33">
        <f>SUM('Школы БУ'!S230+'Школы АУ'!S230)</f>
        <v>0</v>
      </c>
      <c r="T230" s="33">
        <f>SUM('Школы БУ'!T230+'Школы АУ'!T230)</f>
        <v>0</v>
      </c>
    </row>
    <row r="231" spans="1:20" s="6" customFormat="1" ht="16.5" x14ac:dyDescent="0.25">
      <c r="A231" s="63"/>
      <c r="B231" s="58" t="s">
        <v>214</v>
      </c>
      <c r="C231" s="51">
        <v>223</v>
      </c>
      <c r="D231" s="33">
        <f t="shared" si="62"/>
        <v>0</v>
      </c>
      <c r="E231" s="33">
        <f t="shared" si="63"/>
        <v>0</v>
      </c>
      <c r="F231" s="33"/>
      <c r="G231" s="33">
        <f>SUM('Школы БУ'!G231+'Школы АУ'!G231)</f>
        <v>0</v>
      </c>
      <c r="H231" s="33">
        <f>SUM('Школы БУ'!H231+'Школы АУ'!H231)</f>
        <v>0</v>
      </c>
      <c r="I231" s="33">
        <f>SUM('Школы БУ'!I231+'Школы АУ'!I231)</f>
        <v>0</v>
      </c>
      <c r="J231" s="33">
        <f>SUM('Школы БУ'!J231+'Школы АУ'!J231)</f>
        <v>0</v>
      </c>
      <c r="K231" s="33">
        <f>SUM('Школы БУ'!K231+'Школы АУ'!K231)</f>
        <v>0</v>
      </c>
      <c r="L231" s="33">
        <f>SUM('Школы БУ'!L231+'Школы АУ'!L231)</f>
        <v>0</v>
      </c>
      <c r="M231" s="33">
        <f>SUM('Школы БУ'!M231+'Школы АУ'!M231)</f>
        <v>0</v>
      </c>
      <c r="N231" s="33">
        <f>SUM('Школы БУ'!N231+'Школы АУ'!N231)</f>
        <v>0</v>
      </c>
      <c r="O231" s="33">
        <f>SUM('Школы БУ'!O231+'Школы АУ'!O231)</f>
        <v>0</v>
      </c>
      <c r="P231" s="33">
        <f>SUM('Школы БУ'!P231+'Школы АУ'!P231)</f>
        <v>0</v>
      </c>
      <c r="Q231" s="33">
        <f>SUM('Школы БУ'!Q231+'Школы АУ'!Q231)</f>
        <v>0</v>
      </c>
      <c r="R231" s="33">
        <f>SUM('Школы БУ'!R231+'Школы АУ'!R231)</f>
        <v>0</v>
      </c>
      <c r="S231" s="33">
        <f>SUM('Школы БУ'!S231+'Школы АУ'!S231)</f>
        <v>0</v>
      </c>
      <c r="T231" s="33">
        <f>SUM('Школы БУ'!T231+'Школы АУ'!T231)</f>
        <v>0</v>
      </c>
    </row>
    <row r="232" spans="1:20" s="6" customFormat="1" ht="16.5" x14ac:dyDescent="0.25">
      <c r="A232" s="63"/>
      <c r="B232" s="58" t="s">
        <v>215</v>
      </c>
      <c r="C232" s="51">
        <v>223</v>
      </c>
      <c r="D232" s="33">
        <f t="shared" si="62"/>
        <v>0</v>
      </c>
      <c r="E232" s="33">
        <f t="shared" si="63"/>
        <v>0</v>
      </c>
      <c r="F232" s="33"/>
      <c r="G232" s="33">
        <f>SUM('Школы БУ'!G232+'Школы АУ'!G232)</f>
        <v>0</v>
      </c>
      <c r="H232" s="33">
        <f>SUM('Школы БУ'!H232+'Школы АУ'!H232)</f>
        <v>0</v>
      </c>
      <c r="I232" s="33">
        <f>SUM('Школы БУ'!I232+'Школы АУ'!I232)</f>
        <v>0</v>
      </c>
      <c r="J232" s="33">
        <f>SUM('Школы БУ'!J232+'Школы АУ'!J232)</f>
        <v>0</v>
      </c>
      <c r="K232" s="33">
        <f>SUM('Школы БУ'!K232+'Школы АУ'!K232)</f>
        <v>0</v>
      </c>
      <c r="L232" s="33">
        <f>SUM('Школы БУ'!L232+'Школы АУ'!L232)</f>
        <v>0</v>
      </c>
      <c r="M232" s="33">
        <f>SUM('Школы БУ'!M232+'Школы АУ'!M232)</f>
        <v>0</v>
      </c>
      <c r="N232" s="33">
        <f>SUM('Школы БУ'!N232+'Школы АУ'!N232)</f>
        <v>0</v>
      </c>
      <c r="O232" s="33">
        <f>SUM('Школы БУ'!O232+'Школы АУ'!O232)</f>
        <v>0</v>
      </c>
      <c r="P232" s="33">
        <f>SUM('Школы БУ'!P232+'Школы АУ'!P232)</f>
        <v>0</v>
      </c>
      <c r="Q232" s="33">
        <f>SUM('Школы БУ'!Q232+'Школы АУ'!Q232)</f>
        <v>0</v>
      </c>
      <c r="R232" s="33">
        <f>SUM('Школы БУ'!R232+'Школы АУ'!R232)</f>
        <v>0</v>
      </c>
      <c r="S232" s="33">
        <f>SUM('Школы БУ'!S232+'Школы АУ'!S232)</f>
        <v>0</v>
      </c>
      <c r="T232" s="33">
        <f>SUM('Школы БУ'!T232+'Школы АУ'!T232)</f>
        <v>0</v>
      </c>
    </row>
    <row r="233" spans="1:20" s="6" customFormat="1" ht="16.5" x14ac:dyDescent="0.25">
      <c r="A233" s="63" t="s">
        <v>251</v>
      </c>
      <c r="B233" s="58" t="s">
        <v>217</v>
      </c>
      <c r="C233" s="51">
        <v>224</v>
      </c>
      <c r="D233" s="33">
        <f t="shared" si="62"/>
        <v>0</v>
      </c>
      <c r="E233" s="33">
        <f t="shared" si="63"/>
        <v>0</v>
      </c>
      <c r="F233" s="33"/>
      <c r="G233" s="33">
        <f>SUM('Школы БУ'!G233+'Школы АУ'!G233)</f>
        <v>0</v>
      </c>
      <c r="H233" s="33">
        <f>SUM('Школы БУ'!H233+'Школы АУ'!H233)</f>
        <v>0</v>
      </c>
      <c r="I233" s="33">
        <f>SUM('Школы БУ'!I233+'Школы АУ'!I233)</f>
        <v>0</v>
      </c>
      <c r="J233" s="33">
        <f>SUM('Школы БУ'!J233+'Школы АУ'!J233)</f>
        <v>0</v>
      </c>
      <c r="K233" s="33">
        <f>SUM('Школы БУ'!K233+'Школы АУ'!K233)</f>
        <v>0</v>
      </c>
      <c r="L233" s="33">
        <f>SUM('Школы БУ'!L233+'Школы АУ'!L233)</f>
        <v>0</v>
      </c>
      <c r="M233" s="33">
        <f>SUM('Школы БУ'!M233+'Школы АУ'!M233)</f>
        <v>0</v>
      </c>
      <c r="N233" s="33">
        <f>SUM('Школы БУ'!N233+'Школы АУ'!N233)</f>
        <v>0</v>
      </c>
      <c r="O233" s="33">
        <f>SUM('Школы БУ'!O233+'Школы АУ'!O233)</f>
        <v>0</v>
      </c>
      <c r="P233" s="33">
        <f>SUM('Школы БУ'!P233+'Школы АУ'!P233)</f>
        <v>0</v>
      </c>
      <c r="Q233" s="33">
        <f>SUM('Школы БУ'!Q233+'Школы АУ'!Q233)</f>
        <v>0</v>
      </c>
      <c r="R233" s="33">
        <f>SUM('Школы БУ'!R233+'Школы АУ'!R233)</f>
        <v>0</v>
      </c>
      <c r="S233" s="33">
        <f>SUM('Школы БУ'!S233+'Школы АУ'!S233)</f>
        <v>0</v>
      </c>
      <c r="T233" s="33">
        <f>SUM('Школы БУ'!T233+'Школы АУ'!T233)</f>
        <v>0</v>
      </c>
    </row>
    <row r="234" spans="1:20" s="6" customFormat="1" ht="16.5" x14ac:dyDescent="0.25">
      <c r="A234" s="63" t="s">
        <v>252</v>
      </c>
      <c r="B234" s="58" t="s">
        <v>219</v>
      </c>
      <c r="C234" s="51">
        <v>225</v>
      </c>
      <c r="D234" s="33">
        <f t="shared" si="62"/>
        <v>0</v>
      </c>
      <c r="E234" s="33">
        <f t="shared" si="63"/>
        <v>0</v>
      </c>
      <c r="F234" s="33"/>
      <c r="G234" s="33">
        <f>SUM('Школы БУ'!G234+'Школы АУ'!G234)</f>
        <v>0</v>
      </c>
      <c r="H234" s="33">
        <f>SUM('Школы БУ'!H234+'Школы АУ'!H234)</f>
        <v>0</v>
      </c>
      <c r="I234" s="33">
        <f>SUM('Школы БУ'!I234+'Школы АУ'!I234)</f>
        <v>0</v>
      </c>
      <c r="J234" s="33">
        <f>SUM('Школы БУ'!J234+'Школы АУ'!J234)</f>
        <v>0</v>
      </c>
      <c r="K234" s="33">
        <f>SUM('Школы БУ'!K234+'Школы АУ'!K234)</f>
        <v>0</v>
      </c>
      <c r="L234" s="33">
        <f>SUM('Школы БУ'!L234+'Школы АУ'!L234)</f>
        <v>0</v>
      </c>
      <c r="M234" s="33">
        <f>SUM('Школы БУ'!M234+'Школы АУ'!M234)</f>
        <v>0</v>
      </c>
      <c r="N234" s="33">
        <f>SUM('Школы БУ'!N234+'Школы АУ'!N234)</f>
        <v>0</v>
      </c>
      <c r="O234" s="33">
        <f>SUM('Школы БУ'!O234+'Школы АУ'!O234)</f>
        <v>0</v>
      </c>
      <c r="P234" s="33">
        <f>SUM('Школы БУ'!P234+'Школы АУ'!P234)</f>
        <v>0</v>
      </c>
      <c r="Q234" s="33">
        <f>SUM('Школы БУ'!Q234+'Школы АУ'!Q234)</f>
        <v>0</v>
      </c>
      <c r="R234" s="33">
        <f>SUM('Школы БУ'!R234+'Школы АУ'!R234)</f>
        <v>0</v>
      </c>
      <c r="S234" s="33">
        <f>SUM('Школы БУ'!S234+'Школы АУ'!S234)</f>
        <v>0</v>
      </c>
      <c r="T234" s="33">
        <f>SUM('Школы БУ'!T234+'Школы АУ'!T234)</f>
        <v>0</v>
      </c>
    </row>
    <row r="235" spans="1:20" s="6" customFormat="1" ht="16.5" x14ac:dyDescent="0.25">
      <c r="A235" s="63" t="s">
        <v>253</v>
      </c>
      <c r="B235" s="28" t="s">
        <v>64</v>
      </c>
      <c r="C235" s="51">
        <v>225</v>
      </c>
      <c r="D235" s="33">
        <f t="shared" si="62"/>
        <v>22862</v>
      </c>
      <c r="E235" s="33">
        <f t="shared" si="63"/>
        <v>0</v>
      </c>
      <c r="F235" s="33"/>
      <c r="G235" s="33">
        <f>SUM('Школы БУ'!G235+'Школы АУ'!G235)</f>
        <v>0</v>
      </c>
      <c r="H235" s="33">
        <f>SUM('Школы БУ'!H235+'Школы АУ'!H235)</f>
        <v>0</v>
      </c>
      <c r="I235" s="33">
        <f>SUM('Школы БУ'!I235+'Школы АУ'!I235)</f>
        <v>0</v>
      </c>
      <c r="J235" s="33">
        <f>SUM('Школы БУ'!J235+'Школы АУ'!J235)</f>
        <v>0</v>
      </c>
      <c r="K235" s="33">
        <f>SUM('Школы БУ'!K235+'Школы АУ'!K235)</f>
        <v>0</v>
      </c>
      <c r="L235" s="33">
        <f>SUM('Школы БУ'!L235+'Школы АУ'!L235)</f>
        <v>0</v>
      </c>
      <c r="M235" s="33">
        <f>SUM('Школы БУ'!M235+'Школы АУ'!M235)</f>
        <v>0</v>
      </c>
      <c r="N235" s="33">
        <f>SUM('Школы БУ'!N235+'Школы АУ'!N235)</f>
        <v>0</v>
      </c>
      <c r="O235" s="33">
        <f>SUM('Школы БУ'!O235+'Школы АУ'!O235)</f>
        <v>0</v>
      </c>
      <c r="P235" s="33">
        <f>SUM('Школы БУ'!P235+'Школы АУ'!P235)</f>
        <v>0</v>
      </c>
      <c r="Q235" s="33">
        <f>SUM('Школы БУ'!Q235+'Школы АУ'!Q235)</f>
        <v>0</v>
      </c>
      <c r="R235" s="33">
        <f>SUM('Школы БУ'!R235+'Школы АУ'!R235)</f>
        <v>0</v>
      </c>
      <c r="S235" s="33">
        <f>SUM('Школы БУ'!S235+'Школы АУ'!S235)</f>
        <v>22862</v>
      </c>
      <c r="T235" s="33">
        <f>SUM('Школы БУ'!T235+'Школы АУ'!T235)</f>
        <v>0</v>
      </c>
    </row>
    <row r="236" spans="1:20" s="6" customFormat="1" ht="16.5" x14ac:dyDescent="0.25">
      <c r="A236" s="63" t="s">
        <v>254</v>
      </c>
      <c r="B236" s="28" t="s">
        <v>66</v>
      </c>
      <c r="C236" s="51">
        <v>226</v>
      </c>
      <c r="D236" s="33">
        <f t="shared" si="62"/>
        <v>16720.5</v>
      </c>
      <c r="E236" s="33">
        <f t="shared" si="63"/>
        <v>0</v>
      </c>
      <c r="F236" s="33"/>
      <c r="G236" s="33">
        <f>SUM('Школы БУ'!G236+'Школы АУ'!G236)</f>
        <v>0</v>
      </c>
      <c r="H236" s="33">
        <f>SUM('Школы БУ'!H236+'Школы АУ'!H236)</f>
        <v>0</v>
      </c>
      <c r="I236" s="33">
        <f>SUM('Школы БУ'!I236+'Школы АУ'!I236)</f>
        <v>0</v>
      </c>
      <c r="J236" s="33">
        <f>SUM('Школы БУ'!J236+'Школы АУ'!J236)</f>
        <v>0</v>
      </c>
      <c r="K236" s="33">
        <f>SUM('Школы БУ'!K236+'Школы АУ'!K236)</f>
        <v>0</v>
      </c>
      <c r="L236" s="33">
        <f>SUM('Школы БУ'!L236+'Школы АУ'!L236)</f>
        <v>0</v>
      </c>
      <c r="M236" s="33">
        <f>SUM('Школы БУ'!M236+'Школы АУ'!M236)</f>
        <v>0</v>
      </c>
      <c r="N236" s="33">
        <f>SUM('Школы БУ'!N236+'Школы АУ'!N236)</f>
        <v>0</v>
      </c>
      <c r="O236" s="33">
        <f>SUM('Школы БУ'!O236+'Школы АУ'!O236)</f>
        <v>0</v>
      </c>
      <c r="P236" s="33">
        <f>SUM('Школы БУ'!P236+'Школы АУ'!P236)</f>
        <v>0</v>
      </c>
      <c r="Q236" s="33">
        <f>SUM('Школы БУ'!Q236+'Школы АУ'!Q236)</f>
        <v>0</v>
      </c>
      <c r="R236" s="33">
        <f>SUM('Школы БУ'!R236+'Школы АУ'!R236)</f>
        <v>0</v>
      </c>
      <c r="S236" s="33">
        <f>SUM('Школы БУ'!S236+'Школы АУ'!S236)</f>
        <v>16720.5</v>
      </c>
      <c r="T236" s="33">
        <f>SUM('Школы БУ'!T236+'Школы АУ'!T236)</f>
        <v>0</v>
      </c>
    </row>
    <row r="237" spans="1:20" s="6" customFormat="1" ht="16.5" x14ac:dyDescent="0.25">
      <c r="A237" s="63" t="s">
        <v>255</v>
      </c>
      <c r="B237" s="58" t="s">
        <v>225</v>
      </c>
      <c r="C237" s="51">
        <v>226</v>
      </c>
      <c r="D237" s="33">
        <f t="shared" si="62"/>
        <v>0</v>
      </c>
      <c r="E237" s="33">
        <f t="shared" si="63"/>
        <v>0</v>
      </c>
      <c r="F237" s="33"/>
      <c r="G237" s="33">
        <f>SUM('Школы БУ'!G237+'Школы АУ'!G237)</f>
        <v>0</v>
      </c>
      <c r="H237" s="33">
        <f>SUM('Школы БУ'!H237+'Школы АУ'!H237)</f>
        <v>0</v>
      </c>
      <c r="I237" s="33">
        <f>SUM('Школы БУ'!I237+'Школы АУ'!I237)</f>
        <v>0</v>
      </c>
      <c r="J237" s="33">
        <f>SUM('Школы БУ'!J237+'Школы АУ'!J237)</f>
        <v>0</v>
      </c>
      <c r="K237" s="33">
        <f>SUM('Школы БУ'!K237+'Школы АУ'!K237)</f>
        <v>0</v>
      </c>
      <c r="L237" s="33">
        <f>SUM('Школы БУ'!L237+'Школы АУ'!L237)</f>
        <v>0</v>
      </c>
      <c r="M237" s="33">
        <f>SUM('Школы БУ'!M237+'Школы АУ'!M237)</f>
        <v>0</v>
      </c>
      <c r="N237" s="33">
        <f>SUM('Школы БУ'!N237+'Школы АУ'!N237)</f>
        <v>0</v>
      </c>
      <c r="O237" s="33">
        <f>SUM('Школы БУ'!O237+'Школы АУ'!O237)</f>
        <v>0</v>
      </c>
      <c r="P237" s="33">
        <f>SUM('Школы БУ'!P237+'Школы АУ'!P237)</f>
        <v>0</v>
      </c>
      <c r="Q237" s="33">
        <f>SUM('Школы БУ'!Q237+'Школы АУ'!Q237)</f>
        <v>0</v>
      </c>
      <c r="R237" s="33">
        <f>SUM('Школы БУ'!R237+'Школы АУ'!R237)</f>
        <v>0</v>
      </c>
      <c r="S237" s="33">
        <f>SUM('Школы БУ'!S237+'Школы АУ'!S237)</f>
        <v>0</v>
      </c>
      <c r="T237" s="33">
        <f>SUM('Школы БУ'!T237+'Школы АУ'!T237)</f>
        <v>0</v>
      </c>
    </row>
    <row r="238" spans="1:20" s="6" customFormat="1" ht="16.5" x14ac:dyDescent="0.25">
      <c r="A238" s="63" t="s">
        <v>256</v>
      </c>
      <c r="B238" s="28" t="s">
        <v>68</v>
      </c>
      <c r="C238" s="51">
        <v>290</v>
      </c>
      <c r="D238" s="33">
        <f t="shared" si="62"/>
        <v>550</v>
      </c>
      <c r="E238" s="33">
        <f t="shared" si="63"/>
        <v>0</v>
      </c>
      <c r="F238" s="33"/>
      <c r="G238" s="33">
        <f>SUM('Школы БУ'!G238+'Школы АУ'!G238)</f>
        <v>0</v>
      </c>
      <c r="H238" s="33">
        <f>SUM('Школы БУ'!H238+'Школы АУ'!H238)</f>
        <v>0</v>
      </c>
      <c r="I238" s="33">
        <f>SUM('Школы БУ'!I238+'Школы АУ'!I238)</f>
        <v>0</v>
      </c>
      <c r="J238" s="33">
        <f>SUM('Школы БУ'!J238+'Школы АУ'!J238)</f>
        <v>0</v>
      </c>
      <c r="K238" s="33">
        <f>SUM('Школы БУ'!K238+'Школы АУ'!K238)</f>
        <v>0</v>
      </c>
      <c r="L238" s="33">
        <f>SUM('Школы БУ'!L238+'Школы АУ'!L238)</f>
        <v>0</v>
      </c>
      <c r="M238" s="33">
        <f>SUM('Школы БУ'!M238+'Школы АУ'!M238)</f>
        <v>0</v>
      </c>
      <c r="N238" s="33">
        <f>SUM('Школы БУ'!N238+'Школы АУ'!N238)</f>
        <v>0</v>
      </c>
      <c r="O238" s="33">
        <f>SUM('Школы БУ'!O238+'Школы АУ'!O238)</f>
        <v>0</v>
      </c>
      <c r="P238" s="33">
        <f>SUM('Школы БУ'!P238+'Школы АУ'!P238)</f>
        <v>0</v>
      </c>
      <c r="Q238" s="33">
        <f>SUM('Школы БУ'!Q238+'Школы АУ'!Q238)</f>
        <v>0</v>
      </c>
      <c r="R238" s="33">
        <f>SUM('Школы БУ'!R238+'Школы АУ'!R238)</f>
        <v>0</v>
      </c>
      <c r="S238" s="33">
        <f>SUM('Школы БУ'!S238+'Школы АУ'!S238)</f>
        <v>550</v>
      </c>
      <c r="T238" s="33">
        <f>SUM('Школы БУ'!T238+'Школы АУ'!T238)</f>
        <v>0</v>
      </c>
    </row>
    <row r="239" spans="1:20" s="6" customFormat="1" ht="16.5" x14ac:dyDescent="0.25">
      <c r="A239" s="63" t="s">
        <v>257</v>
      </c>
      <c r="B239" s="58" t="s">
        <v>72</v>
      </c>
      <c r="C239" s="51">
        <v>310</v>
      </c>
      <c r="D239" s="33">
        <f t="shared" si="62"/>
        <v>127405</v>
      </c>
      <c r="E239" s="33">
        <f t="shared" si="63"/>
        <v>22990</v>
      </c>
      <c r="F239" s="33"/>
      <c r="G239" s="33">
        <f>SUM('Школы БУ'!G239+'Школы АУ'!G239)</f>
        <v>0</v>
      </c>
      <c r="H239" s="33">
        <f>SUM('Школы БУ'!H239+'Школы АУ'!H239)</f>
        <v>0</v>
      </c>
      <c r="I239" s="33">
        <f>SUM('Школы БУ'!I239+'Школы АУ'!I239)</f>
        <v>0</v>
      </c>
      <c r="J239" s="33">
        <f>SUM('Школы БУ'!J239+'Школы АУ'!J239)</f>
        <v>0</v>
      </c>
      <c r="K239" s="33">
        <f>SUM('Школы БУ'!K239+'Школы АУ'!K239)</f>
        <v>0</v>
      </c>
      <c r="L239" s="33">
        <f>SUM('Школы БУ'!L239+'Школы АУ'!L239)</f>
        <v>0</v>
      </c>
      <c r="M239" s="33">
        <f>SUM('Школы БУ'!M239+'Школы АУ'!M239)</f>
        <v>0</v>
      </c>
      <c r="N239" s="33">
        <f>SUM('Школы БУ'!N239+'Школы АУ'!N239)</f>
        <v>0</v>
      </c>
      <c r="O239" s="33">
        <f>SUM('Школы БУ'!O239+'Школы АУ'!O239)</f>
        <v>0</v>
      </c>
      <c r="P239" s="33">
        <f>SUM('Школы БУ'!P239+'Школы АУ'!P239)</f>
        <v>0</v>
      </c>
      <c r="Q239" s="33">
        <f>SUM('Школы БУ'!Q239+'Школы АУ'!Q239)</f>
        <v>0</v>
      </c>
      <c r="R239" s="33">
        <f>SUM('Школы БУ'!R239+'Школы АУ'!R239)</f>
        <v>0</v>
      </c>
      <c r="S239" s="33">
        <f>SUM('Школы БУ'!S239+'Школы АУ'!S239)</f>
        <v>127405</v>
      </c>
      <c r="T239" s="33">
        <f>SUM('Школы БУ'!T239+'Школы АУ'!T239)</f>
        <v>22990</v>
      </c>
    </row>
    <row r="240" spans="1:20" s="6" customFormat="1" ht="16.5" x14ac:dyDescent="0.25">
      <c r="A240" s="63" t="s">
        <v>258</v>
      </c>
      <c r="B240" s="58" t="s">
        <v>243</v>
      </c>
      <c r="C240" s="51">
        <v>340</v>
      </c>
      <c r="D240" s="33">
        <f t="shared" si="62"/>
        <v>2918564.96</v>
      </c>
      <c r="E240" s="33">
        <f t="shared" si="63"/>
        <v>725822.35</v>
      </c>
      <c r="F240" s="33"/>
      <c r="G240" s="33">
        <f>SUM('Школы БУ'!G240+'Школы АУ'!G240)</f>
        <v>0</v>
      </c>
      <c r="H240" s="33">
        <f>SUM('Школы БУ'!H240+'Школы АУ'!H240)</f>
        <v>0</v>
      </c>
      <c r="I240" s="33">
        <f>SUM('Школы БУ'!I240+'Школы АУ'!I240)</f>
        <v>0</v>
      </c>
      <c r="J240" s="33">
        <f>SUM('Школы БУ'!J240+'Школы АУ'!J240)</f>
        <v>0</v>
      </c>
      <c r="K240" s="33">
        <f>SUM('Школы БУ'!K240+'Школы АУ'!K240)</f>
        <v>0</v>
      </c>
      <c r="L240" s="33">
        <f>SUM('Школы БУ'!L240+'Школы АУ'!L240)</f>
        <v>0</v>
      </c>
      <c r="M240" s="33">
        <f>SUM('Школы БУ'!M240+'Школы АУ'!M240)</f>
        <v>0</v>
      </c>
      <c r="N240" s="33">
        <f>SUM('Школы БУ'!N240+'Школы АУ'!N240)</f>
        <v>0</v>
      </c>
      <c r="O240" s="33">
        <f>SUM('Школы БУ'!O240+'Школы АУ'!O240)</f>
        <v>0</v>
      </c>
      <c r="P240" s="33">
        <f>SUM('Школы БУ'!P240+'Школы АУ'!P240)</f>
        <v>0</v>
      </c>
      <c r="Q240" s="33">
        <f>SUM('Школы БУ'!Q240+'Школы АУ'!Q240)</f>
        <v>0</v>
      </c>
      <c r="R240" s="33">
        <f>SUM('Школы БУ'!R240+'Школы АУ'!R240)</f>
        <v>0</v>
      </c>
      <c r="S240" s="33">
        <f>SUM('Школы БУ'!S240+'Школы АУ'!S240)</f>
        <v>2918564.96</v>
      </c>
      <c r="T240" s="33">
        <f>SUM('Школы БУ'!T240+'Школы АУ'!T240)</f>
        <v>725822.35</v>
      </c>
    </row>
    <row r="241" spans="1:20" s="18" customFormat="1" ht="17.25" x14ac:dyDescent="0.25">
      <c r="A241" s="61" t="s">
        <v>259</v>
      </c>
      <c r="B241" s="62" t="s">
        <v>41</v>
      </c>
      <c r="C241" s="49"/>
      <c r="D241" s="34">
        <f t="shared" ref="D241:R241" si="66">SUM(D242+D243+D244+D245+D246+D247+D251+D252+D253+D254+D255+D256+D257+D258)</f>
        <v>30524868.979999997</v>
      </c>
      <c r="E241" s="34">
        <f t="shared" si="66"/>
        <v>7762025.1599999992</v>
      </c>
      <c r="F241" s="34"/>
      <c r="G241" s="34">
        <f t="shared" si="66"/>
        <v>0</v>
      </c>
      <c r="H241" s="34">
        <f t="shared" si="66"/>
        <v>0</v>
      </c>
      <c r="I241" s="34">
        <f t="shared" si="66"/>
        <v>0</v>
      </c>
      <c r="J241" s="34">
        <f t="shared" si="66"/>
        <v>0</v>
      </c>
      <c r="K241" s="34">
        <f t="shared" si="66"/>
        <v>0</v>
      </c>
      <c r="L241" s="34">
        <f t="shared" si="66"/>
        <v>0</v>
      </c>
      <c r="M241" s="34">
        <f t="shared" si="66"/>
        <v>0</v>
      </c>
      <c r="N241" s="34">
        <f t="shared" si="66"/>
        <v>0</v>
      </c>
      <c r="O241" s="34">
        <f t="shared" si="66"/>
        <v>0</v>
      </c>
      <c r="P241" s="34">
        <f t="shared" si="66"/>
        <v>0</v>
      </c>
      <c r="Q241" s="34">
        <f t="shared" si="66"/>
        <v>0</v>
      </c>
      <c r="R241" s="34">
        <f t="shared" si="66"/>
        <v>0</v>
      </c>
      <c r="S241" s="34">
        <f>SUM(S242+S243+S244+S245+S246+S247+S251+S252+S253+S254+S255+S256+S257+S258)</f>
        <v>30524868.979999997</v>
      </c>
      <c r="T241" s="34">
        <f t="shared" ref="T241" si="67">SUM(T242+T243+T244+T245+T246+T247+T251+T252+T253+T254+T255+T256+T257+T258)</f>
        <v>7762025.1599999992</v>
      </c>
    </row>
    <row r="242" spans="1:20" s="6" customFormat="1" ht="16.5" x14ac:dyDescent="0.25">
      <c r="A242" s="63" t="s">
        <v>260</v>
      </c>
      <c r="B242" s="28" t="s">
        <v>47</v>
      </c>
      <c r="C242" s="51">
        <v>211</v>
      </c>
      <c r="D242" s="33">
        <f t="shared" si="62"/>
        <v>994671.66</v>
      </c>
      <c r="E242" s="33">
        <f t="shared" si="63"/>
        <v>179007.05</v>
      </c>
      <c r="F242" s="33"/>
      <c r="G242" s="33">
        <f>SUM('Школы БУ'!G242+'Школы АУ'!G242)</f>
        <v>0</v>
      </c>
      <c r="H242" s="33">
        <f>SUM('Школы БУ'!H242+'Школы АУ'!H242)</f>
        <v>0</v>
      </c>
      <c r="I242" s="33">
        <f>SUM('Школы БУ'!I242+'Школы АУ'!I242)</f>
        <v>0</v>
      </c>
      <c r="J242" s="33">
        <f>SUM('Школы БУ'!J242+'Школы АУ'!J242)</f>
        <v>0</v>
      </c>
      <c r="K242" s="33">
        <f>SUM('Школы БУ'!K242+'Школы АУ'!K242)</f>
        <v>0</v>
      </c>
      <c r="L242" s="33">
        <f>SUM('Школы БУ'!L242+'Школы АУ'!L242)</f>
        <v>0</v>
      </c>
      <c r="M242" s="33">
        <f>SUM('Школы БУ'!M242+'Школы АУ'!M242)</f>
        <v>0</v>
      </c>
      <c r="N242" s="33">
        <f>SUM('Школы БУ'!N242+'Школы АУ'!N242)</f>
        <v>0</v>
      </c>
      <c r="O242" s="33">
        <f>SUM('Школы БУ'!O242+'Школы АУ'!O242)</f>
        <v>0</v>
      </c>
      <c r="P242" s="33">
        <f>SUM('Школы БУ'!P242+'Школы АУ'!P242)</f>
        <v>0</v>
      </c>
      <c r="Q242" s="33">
        <f>SUM('Школы БУ'!Q242+'Школы АУ'!Q242)</f>
        <v>0</v>
      </c>
      <c r="R242" s="33">
        <f>SUM('Школы БУ'!R242+'Школы АУ'!R242)</f>
        <v>0</v>
      </c>
      <c r="S242" s="33">
        <f>SUM('Школы БУ'!S242+'Школы АУ'!S242)</f>
        <v>994671.66</v>
      </c>
      <c r="T242" s="33">
        <f>SUM('Школы БУ'!T242+'Школы АУ'!T242)</f>
        <v>179007.05</v>
      </c>
    </row>
    <row r="243" spans="1:20" s="6" customFormat="1" ht="16.5" x14ac:dyDescent="0.25">
      <c r="A243" s="63" t="s">
        <v>261</v>
      </c>
      <c r="B243" s="28" t="s">
        <v>49</v>
      </c>
      <c r="C243" s="51">
        <v>212</v>
      </c>
      <c r="D243" s="33">
        <f t="shared" si="62"/>
        <v>240.74</v>
      </c>
      <c r="E243" s="33">
        <f t="shared" si="63"/>
        <v>20300</v>
      </c>
      <c r="F243" s="33"/>
      <c r="G243" s="33">
        <f>SUM('Школы БУ'!G243+'Школы АУ'!G243)</f>
        <v>0</v>
      </c>
      <c r="H243" s="33">
        <f>SUM('Школы БУ'!H243+'Школы АУ'!H243)</f>
        <v>0</v>
      </c>
      <c r="I243" s="33">
        <f>SUM('Школы БУ'!I243+'Школы АУ'!I243)</f>
        <v>0</v>
      </c>
      <c r="J243" s="33">
        <f>SUM('Школы БУ'!J243+'Школы АУ'!J243)</f>
        <v>0</v>
      </c>
      <c r="K243" s="33">
        <f>SUM('Школы БУ'!K243+'Школы АУ'!K243)</f>
        <v>0</v>
      </c>
      <c r="L243" s="33">
        <f>SUM('Школы БУ'!L243+'Школы АУ'!L243)</f>
        <v>0</v>
      </c>
      <c r="M243" s="33">
        <f>SUM('Школы БУ'!M243+'Школы АУ'!M243)</f>
        <v>0</v>
      </c>
      <c r="N243" s="33">
        <f>SUM('Школы БУ'!N243+'Школы АУ'!N243)</f>
        <v>0</v>
      </c>
      <c r="O243" s="33">
        <f>SUM('Школы БУ'!O243+'Школы АУ'!O243)</f>
        <v>0</v>
      </c>
      <c r="P243" s="33">
        <f>SUM('Школы БУ'!P243+'Школы АУ'!P243)</f>
        <v>0</v>
      </c>
      <c r="Q243" s="33">
        <f>SUM('Школы БУ'!Q243+'Школы АУ'!Q243)</f>
        <v>0</v>
      </c>
      <c r="R243" s="33">
        <f>SUM('Школы БУ'!R243+'Школы АУ'!R243)</f>
        <v>0</v>
      </c>
      <c r="S243" s="33">
        <f>SUM('Школы БУ'!S243+'Школы АУ'!S243)</f>
        <v>240.74</v>
      </c>
      <c r="T243" s="33">
        <f>SUM('Школы БУ'!T243+'Школы АУ'!T243)</f>
        <v>20300</v>
      </c>
    </row>
    <row r="244" spans="1:20" s="6" customFormat="1" ht="16.5" x14ac:dyDescent="0.25">
      <c r="A244" s="63" t="s">
        <v>262</v>
      </c>
      <c r="B244" s="28" t="s">
        <v>51</v>
      </c>
      <c r="C244" s="51">
        <v>213</v>
      </c>
      <c r="D244" s="33">
        <f t="shared" si="62"/>
        <v>299742.8</v>
      </c>
      <c r="E244" s="33">
        <f t="shared" si="63"/>
        <v>52828</v>
      </c>
      <c r="F244" s="33"/>
      <c r="G244" s="33">
        <f>SUM('Школы БУ'!G244+'Школы АУ'!G244)</f>
        <v>0</v>
      </c>
      <c r="H244" s="33">
        <f>SUM('Школы БУ'!H244+'Школы АУ'!H244)</f>
        <v>0</v>
      </c>
      <c r="I244" s="33">
        <f>SUM('Школы БУ'!I244+'Школы АУ'!I244)</f>
        <v>0</v>
      </c>
      <c r="J244" s="33">
        <f>SUM('Школы БУ'!J244+'Школы АУ'!J244)</f>
        <v>0</v>
      </c>
      <c r="K244" s="33">
        <f>SUM('Школы БУ'!K244+'Школы АУ'!K244)</f>
        <v>0</v>
      </c>
      <c r="L244" s="33">
        <f>SUM('Школы БУ'!L244+'Школы АУ'!L244)</f>
        <v>0</v>
      </c>
      <c r="M244" s="33">
        <f>SUM('Школы БУ'!M244+'Школы АУ'!M244)</f>
        <v>0</v>
      </c>
      <c r="N244" s="33">
        <f>SUM('Школы БУ'!N244+'Школы АУ'!N244)</f>
        <v>0</v>
      </c>
      <c r="O244" s="33">
        <f>SUM('Школы БУ'!O244+'Школы АУ'!O244)</f>
        <v>0</v>
      </c>
      <c r="P244" s="33">
        <f>SUM('Школы БУ'!P244+'Школы АУ'!P244)</f>
        <v>0</v>
      </c>
      <c r="Q244" s="33">
        <f>SUM('Школы БУ'!Q244+'Школы АУ'!Q244)</f>
        <v>0</v>
      </c>
      <c r="R244" s="33">
        <f>SUM('Школы БУ'!R244+'Школы АУ'!R244)</f>
        <v>0</v>
      </c>
      <c r="S244" s="33">
        <f>SUM('Школы БУ'!S244+'Школы АУ'!S244)</f>
        <v>299742.8</v>
      </c>
      <c r="T244" s="33">
        <f>SUM('Школы БУ'!T244+'Школы АУ'!T244)</f>
        <v>52828</v>
      </c>
    </row>
    <row r="245" spans="1:20" s="6" customFormat="1" ht="16.5" x14ac:dyDescent="0.25">
      <c r="A245" s="63" t="s">
        <v>263</v>
      </c>
      <c r="B245" s="28" t="s">
        <v>53</v>
      </c>
      <c r="C245" s="51">
        <v>221</v>
      </c>
      <c r="D245" s="33">
        <f t="shared" si="62"/>
        <v>470545.28</v>
      </c>
      <c r="E245" s="33">
        <f t="shared" si="63"/>
        <v>85998.2</v>
      </c>
      <c r="F245" s="33"/>
      <c r="G245" s="33">
        <f>SUM('Школы БУ'!G245+'Школы АУ'!G245)</f>
        <v>0</v>
      </c>
      <c r="H245" s="33">
        <f>SUM('Школы БУ'!H245+'Школы АУ'!H245)</f>
        <v>0</v>
      </c>
      <c r="I245" s="33">
        <f>SUM('Школы БУ'!I245+'Школы АУ'!I245)</f>
        <v>0</v>
      </c>
      <c r="J245" s="33">
        <f>SUM('Школы БУ'!J245+'Школы АУ'!J245)</f>
        <v>0</v>
      </c>
      <c r="K245" s="33">
        <f>SUM('Школы БУ'!K245+'Школы АУ'!K245)</f>
        <v>0</v>
      </c>
      <c r="L245" s="33">
        <f>SUM('Школы БУ'!L245+'Школы АУ'!L245)</f>
        <v>0</v>
      </c>
      <c r="M245" s="33">
        <f>SUM('Школы БУ'!M245+'Школы АУ'!M245)</f>
        <v>0</v>
      </c>
      <c r="N245" s="33">
        <f>SUM('Школы БУ'!N245+'Школы АУ'!N245)</f>
        <v>0</v>
      </c>
      <c r="O245" s="33">
        <f>SUM('Школы БУ'!O245+'Школы АУ'!O245)</f>
        <v>0</v>
      </c>
      <c r="P245" s="33">
        <f>SUM('Школы БУ'!P245+'Школы АУ'!P245)</f>
        <v>0</v>
      </c>
      <c r="Q245" s="33">
        <f>SUM('Школы БУ'!Q245+'Школы АУ'!Q245)</f>
        <v>0</v>
      </c>
      <c r="R245" s="33">
        <f>SUM('Школы БУ'!R245+'Школы АУ'!R245)</f>
        <v>0</v>
      </c>
      <c r="S245" s="33">
        <f>SUM('Школы БУ'!S245+'Школы АУ'!S245)</f>
        <v>470545.28</v>
      </c>
      <c r="T245" s="33">
        <f>SUM('Школы БУ'!T245+'Школы АУ'!T245)</f>
        <v>85998.2</v>
      </c>
    </row>
    <row r="246" spans="1:20" s="6" customFormat="1" ht="16.5" x14ac:dyDescent="0.25">
      <c r="A246" s="63" t="s">
        <v>264</v>
      </c>
      <c r="B246" s="28" t="s">
        <v>55</v>
      </c>
      <c r="C246" s="51">
        <v>222</v>
      </c>
      <c r="D246" s="33">
        <f>SUM(G246+I246+K246+M246+O246+Q246+S246)</f>
        <v>18000</v>
      </c>
      <c r="E246" s="33">
        <f t="shared" si="63"/>
        <v>105626.18</v>
      </c>
      <c r="F246" s="33"/>
      <c r="G246" s="33">
        <f>SUM('Школы БУ'!G246+'Школы АУ'!G246)</f>
        <v>0</v>
      </c>
      <c r="H246" s="33">
        <f>SUM('Школы БУ'!H246+'Школы АУ'!H246)</f>
        <v>0</v>
      </c>
      <c r="I246" s="33">
        <f>SUM('Школы БУ'!I246+'Школы АУ'!I246)</f>
        <v>0</v>
      </c>
      <c r="J246" s="33">
        <f>SUM('Школы БУ'!J246+'Школы АУ'!J246)</f>
        <v>0</v>
      </c>
      <c r="K246" s="33">
        <f>SUM('Школы БУ'!K246+'Школы АУ'!K246)</f>
        <v>0</v>
      </c>
      <c r="L246" s="33">
        <f>SUM('Школы БУ'!L246+'Школы АУ'!L246)</f>
        <v>0</v>
      </c>
      <c r="M246" s="33">
        <f>SUM('Школы БУ'!M246+'Школы АУ'!M246)</f>
        <v>0</v>
      </c>
      <c r="N246" s="33">
        <f>SUM('Школы БУ'!N246+'Школы АУ'!N246)</f>
        <v>0</v>
      </c>
      <c r="O246" s="33">
        <f>SUM('Школы БУ'!O246+'Школы АУ'!O246)</f>
        <v>0</v>
      </c>
      <c r="P246" s="33">
        <f>SUM('Школы БУ'!P246+'Школы АУ'!P246)</f>
        <v>0</v>
      </c>
      <c r="Q246" s="33">
        <f>SUM('Школы БУ'!Q246+'Школы АУ'!Q246)</f>
        <v>0</v>
      </c>
      <c r="R246" s="33">
        <f>SUM('Школы БУ'!R246+'Школы АУ'!R246)</f>
        <v>0</v>
      </c>
      <c r="S246" s="33">
        <f>SUM('Школы БУ'!S246+'Школы АУ'!S246)</f>
        <v>18000</v>
      </c>
      <c r="T246" s="33">
        <f>SUM('Школы БУ'!T246+'Школы АУ'!T246)</f>
        <v>105626.18</v>
      </c>
    </row>
    <row r="247" spans="1:20" s="6" customFormat="1" ht="16.5" x14ac:dyDescent="0.25">
      <c r="A247" s="63" t="s">
        <v>265</v>
      </c>
      <c r="B247" s="28" t="s">
        <v>57</v>
      </c>
      <c r="C247" s="51">
        <v>223</v>
      </c>
      <c r="D247" s="33">
        <f t="shared" ref="D247:D249" si="68">SUM(G247+I247+K247+M247+O247+Q247+S247)</f>
        <v>0</v>
      </c>
      <c r="E247" s="33">
        <f t="shared" ref="E247:E249" si="69">SUM(H247+J247+L247+N247+P247+R247+T247)</f>
        <v>1383.9</v>
      </c>
      <c r="F247" s="33"/>
      <c r="G247" s="33">
        <f>SUM('Школы БУ'!G247+'Школы АУ'!G247)</f>
        <v>0</v>
      </c>
      <c r="H247" s="33">
        <f>SUM('Школы БУ'!H247+'Школы АУ'!H247)</f>
        <v>0</v>
      </c>
      <c r="I247" s="33">
        <f>SUM('Школы БУ'!I247+'Школы АУ'!I247)</f>
        <v>0</v>
      </c>
      <c r="J247" s="33">
        <f>SUM('Школы БУ'!J247+'Школы АУ'!J247)</f>
        <v>0</v>
      </c>
      <c r="K247" s="33">
        <f>SUM('Школы БУ'!K247+'Школы АУ'!K247)</f>
        <v>0</v>
      </c>
      <c r="L247" s="33">
        <f>SUM('Школы БУ'!L247+'Школы АУ'!L247)</f>
        <v>0</v>
      </c>
      <c r="M247" s="33">
        <f>SUM('Школы БУ'!M247+'Школы АУ'!M247)</f>
        <v>0</v>
      </c>
      <c r="N247" s="33">
        <f>SUM('Школы БУ'!N247+'Школы АУ'!N247)</f>
        <v>0</v>
      </c>
      <c r="O247" s="33">
        <f>SUM('Школы БУ'!O247+'Школы АУ'!O247)</f>
        <v>0</v>
      </c>
      <c r="P247" s="33">
        <f>SUM('Школы БУ'!P247+'Школы АУ'!P247)</f>
        <v>0</v>
      </c>
      <c r="Q247" s="33">
        <f>SUM('Школы БУ'!Q247+'Школы АУ'!Q247)</f>
        <v>0</v>
      </c>
      <c r="R247" s="33">
        <f>SUM('Школы БУ'!R247+'Школы АУ'!R247)</f>
        <v>0</v>
      </c>
      <c r="S247" s="33">
        <f>SUM('Школы БУ'!S247+'Школы АУ'!S247)</f>
        <v>0</v>
      </c>
      <c r="T247" s="33">
        <f>SUM('Школы БУ'!T247+'Школы АУ'!T247)</f>
        <v>1383.9</v>
      </c>
    </row>
    <row r="248" spans="1:20" s="6" customFormat="1" ht="16.5" x14ac:dyDescent="0.25">
      <c r="A248" s="63"/>
      <c r="B248" s="58" t="s">
        <v>213</v>
      </c>
      <c r="C248" s="51">
        <v>223</v>
      </c>
      <c r="D248" s="33">
        <f t="shared" si="68"/>
        <v>0</v>
      </c>
      <c r="E248" s="33">
        <f t="shared" si="69"/>
        <v>1383.9</v>
      </c>
      <c r="F248" s="33"/>
      <c r="G248" s="33">
        <f>SUM('Школы БУ'!G248+'Школы АУ'!G248)</f>
        <v>0</v>
      </c>
      <c r="H248" s="33">
        <f>SUM('Школы БУ'!H248+'Школы АУ'!H248)</f>
        <v>0</v>
      </c>
      <c r="I248" s="33">
        <f>SUM('Школы БУ'!I248+'Школы АУ'!I248)</f>
        <v>0</v>
      </c>
      <c r="J248" s="33">
        <f>SUM('Школы БУ'!J248+'Школы АУ'!J248)</f>
        <v>0</v>
      </c>
      <c r="K248" s="33">
        <f>SUM('Школы БУ'!K248+'Школы АУ'!K248)</f>
        <v>0</v>
      </c>
      <c r="L248" s="33">
        <f>SUM('Школы БУ'!L248+'Школы АУ'!L248)</f>
        <v>0</v>
      </c>
      <c r="M248" s="33">
        <f>SUM('Школы БУ'!M248+'Школы АУ'!M248)</f>
        <v>0</v>
      </c>
      <c r="N248" s="33">
        <f>SUM('Школы БУ'!N248+'Школы АУ'!N248)</f>
        <v>0</v>
      </c>
      <c r="O248" s="33">
        <f>SUM('Школы БУ'!O248+'Школы АУ'!O248)</f>
        <v>0</v>
      </c>
      <c r="P248" s="33">
        <f>SUM('Школы БУ'!P248+'Школы АУ'!P248)</f>
        <v>0</v>
      </c>
      <c r="Q248" s="33">
        <f>SUM('Школы БУ'!Q248+'Школы АУ'!Q248)</f>
        <v>0</v>
      </c>
      <c r="R248" s="33">
        <f>SUM('Школы БУ'!R248+'Школы АУ'!R248)</f>
        <v>0</v>
      </c>
      <c r="S248" s="33">
        <f>SUM('Школы БУ'!S248+'Школы АУ'!S248)</f>
        <v>0</v>
      </c>
      <c r="T248" s="33">
        <f>SUM('Школы БУ'!T248+'Школы АУ'!T248)</f>
        <v>1383.9</v>
      </c>
    </row>
    <row r="249" spans="1:20" s="6" customFormat="1" ht="16.5" x14ac:dyDescent="0.25">
      <c r="A249" s="63"/>
      <c r="B249" s="58" t="s">
        <v>214</v>
      </c>
      <c r="C249" s="51">
        <v>223</v>
      </c>
      <c r="D249" s="33">
        <f t="shared" si="68"/>
        <v>0</v>
      </c>
      <c r="E249" s="33">
        <f t="shared" si="69"/>
        <v>0</v>
      </c>
      <c r="F249" s="33"/>
      <c r="G249" s="33">
        <f>SUM('Школы БУ'!G249+'Школы АУ'!G249)</f>
        <v>0</v>
      </c>
      <c r="H249" s="33">
        <f>SUM('Школы БУ'!H249+'Школы АУ'!H249)</f>
        <v>0</v>
      </c>
      <c r="I249" s="33">
        <f>SUM('Школы БУ'!I249+'Школы АУ'!I249)</f>
        <v>0</v>
      </c>
      <c r="J249" s="33">
        <f>SUM('Школы БУ'!J249+'Школы АУ'!J249)</f>
        <v>0</v>
      </c>
      <c r="K249" s="33">
        <f>SUM('Школы БУ'!K249+'Школы АУ'!K249)</f>
        <v>0</v>
      </c>
      <c r="L249" s="33">
        <f>SUM('Школы БУ'!L249+'Школы АУ'!L249)</f>
        <v>0</v>
      </c>
      <c r="M249" s="33">
        <f>SUM('Школы БУ'!M249+'Школы АУ'!M249)</f>
        <v>0</v>
      </c>
      <c r="N249" s="33">
        <f>SUM('Школы БУ'!N249+'Школы АУ'!N249)</f>
        <v>0</v>
      </c>
      <c r="O249" s="33">
        <f>SUM('Школы БУ'!O249+'Школы АУ'!O249)</f>
        <v>0</v>
      </c>
      <c r="P249" s="33">
        <f>SUM('Школы БУ'!P249+'Школы АУ'!P249)</f>
        <v>0</v>
      </c>
      <c r="Q249" s="33">
        <f>SUM('Школы БУ'!Q249+'Школы АУ'!Q249)</f>
        <v>0</v>
      </c>
      <c r="R249" s="33">
        <f>SUM('Школы БУ'!R249+'Школы АУ'!R249)</f>
        <v>0</v>
      </c>
      <c r="S249" s="33">
        <f>SUM('Школы БУ'!S249+'Школы АУ'!S249)</f>
        <v>0</v>
      </c>
      <c r="T249" s="33">
        <f>SUM('Школы БУ'!T249+'Школы АУ'!T249)</f>
        <v>0</v>
      </c>
    </row>
    <row r="250" spans="1:20" s="6" customFormat="1" ht="16.5" x14ac:dyDescent="0.25">
      <c r="A250" s="63"/>
      <c r="B250" s="58" t="s">
        <v>215</v>
      </c>
      <c r="C250" s="51">
        <v>223</v>
      </c>
      <c r="D250" s="33">
        <f t="shared" si="62"/>
        <v>0</v>
      </c>
      <c r="E250" s="33">
        <f t="shared" si="63"/>
        <v>0</v>
      </c>
      <c r="F250" s="33"/>
      <c r="G250" s="33">
        <f>SUM('Школы БУ'!G250+'Школы АУ'!G250)</f>
        <v>0</v>
      </c>
      <c r="H250" s="33">
        <f>SUM('Школы БУ'!H250+'Школы АУ'!H250)</f>
        <v>0</v>
      </c>
      <c r="I250" s="33">
        <f>SUM('Школы БУ'!I250+'Школы АУ'!I250)</f>
        <v>0</v>
      </c>
      <c r="J250" s="33">
        <f>SUM('Школы БУ'!J250+'Школы АУ'!J250)</f>
        <v>0</v>
      </c>
      <c r="K250" s="33">
        <f>SUM('Школы БУ'!K250+'Школы АУ'!K250)</f>
        <v>0</v>
      </c>
      <c r="L250" s="33">
        <f>SUM('Школы БУ'!L250+'Школы АУ'!L250)</f>
        <v>0</v>
      </c>
      <c r="M250" s="33">
        <f>SUM('Школы БУ'!M250+'Школы АУ'!M250)</f>
        <v>0</v>
      </c>
      <c r="N250" s="33">
        <f>SUM('Школы БУ'!N250+'Школы АУ'!N250)</f>
        <v>0</v>
      </c>
      <c r="O250" s="33">
        <f>SUM('Школы БУ'!O250+'Школы АУ'!O250)</f>
        <v>0</v>
      </c>
      <c r="P250" s="33">
        <f>SUM('Школы БУ'!P250+'Школы АУ'!P250)</f>
        <v>0</v>
      </c>
      <c r="Q250" s="33">
        <f>SUM('Школы БУ'!Q250+'Школы АУ'!Q250)</f>
        <v>0</v>
      </c>
      <c r="R250" s="33">
        <f>SUM('Школы БУ'!R250+'Школы АУ'!R250)</f>
        <v>0</v>
      </c>
      <c r="S250" s="33">
        <f>SUM('Школы БУ'!S250+'Школы АУ'!S250)</f>
        <v>0</v>
      </c>
      <c r="T250" s="33">
        <f>SUM('Школы БУ'!T250+'Школы АУ'!T250)</f>
        <v>0</v>
      </c>
    </row>
    <row r="251" spans="1:20" s="6" customFormat="1" ht="16.5" x14ac:dyDescent="0.25">
      <c r="A251" s="63" t="s">
        <v>266</v>
      </c>
      <c r="B251" s="58" t="s">
        <v>217</v>
      </c>
      <c r="C251" s="51">
        <v>224</v>
      </c>
      <c r="D251" s="33">
        <f t="shared" si="62"/>
        <v>0</v>
      </c>
      <c r="E251" s="33">
        <f t="shared" si="63"/>
        <v>0</v>
      </c>
      <c r="F251" s="33"/>
      <c r="G251" s="33">
        <f>SUM('Школы БУ'!G251+'Школы АУ'!G251)</f>
        <v>0</v>
      </c>
      <c r="H251" s="33">
        <f>SUM('Школы БУ'!H251+'Школы АУ'!H251)</f>
        <v>0</v>
      </c>
      <c r="I251" s="33">
        <f>SUM('Школы БУ'!I251+'Школы АУ'!I251)</f>
        <v>0</v>
      </c>
      <c r="J251" s="33">
        <f>SUM('Школы БУ'!J251+'Школы АУ'!J251)</f>
        <v>0</v>
      </c>
      <c r="K251" s="33">
        <f>SUM('Школы БУ'!K251+'Школы АУ'!K251)</f>
        <v>0</v>
      </c>
      <c r="L251" s="33">
        <f>SUM('Школы БУ'!L251+'Школы АУ'!L251)</f>
        <v>0</v>
      </c>
      <c r="M251" s="33">
        <f>SUM('Школы БУ'!M251+'Школы АУ'!M251)</f>
        <v>0</v>
      </c>
      <c r="N251" s="33">
        <f>SUM('Школы БУ'!N251+'Школы АУ'!N251)</f>
        <v>0</v>
      </c>
      <c r="O251" s="33">
        <f>SUM('Школы БУ'!O251+'Школы АУ'!O251)</f>
        <v>0</v>
      </c>
      <c r="P251" s="33">
        <f>SUM('Школы БУ'!P251+'Школы АУ'!P251)</f>
        <v>0</v>
      </c>
      <c r="Q251" s="33">
        <f>SUM('Школы БУ'!Q251+'Школы АУ'!Q251)</f>
        <v>0</v>
      </c>
      <c r="R251" s="33">
        <f>SUM('Школы БУ'!R251+'Школы АУ'!R251)</f>
        <v>0</v>
      </c>
      <c r="S251" s="33">
        <f>SUM('Школы БУ'!S251+'Школы АУ'!S251)</f>
        <v>0</v>
      </c>
      <c r="T251" s="33">
        <f>SUM('Школы БУ'!T251+'Школы АУ'!T251)</f>
        <v>0</v>
      </c>
    </row>
    <row r="252" spans="1:20" s="6" customFormat="1" ht="16.5" x14ac:dyDescent="0.25">
      <c r="A252" s="63" t="s">
        <v>267</v>
      </c>
      <c r="B252" s="58" t="s">
        <v>219</v>
      </c>
      <c r="C252" s="51">
        <v>225</v>
      </c>
      <c r="D252" s="33">
        <f t="shared" si="62"/>
        <v>0</v>
      </c>
      <c r="E252" s="33">
        <f t="shared" si="63"/>
        <v>0</v>
      </c>
      <c r="F252" s="33"/>
      <c r="G252" s="33">
        <f>SUM('Школы БУ'!G252+'Школы АУ'!G252)</f>
        <v>0</v>
      </c>
      <c r="H252" s="33">
        <f>SUM('Школы БУ'!H252+'Школы АУ'!H252)</f>
        <v>0</v>
      </c>
      <c r="I252" s="33">
        <f>SUM('Школы БУ'!I252+'Школы АУ'!I252)</f>
        <v>0</v>
      </c>
      <c r="J252" s="33">
        <f>SUM('Школы БУ'!J252+'Школы АУ'!J252)</f>
        <v>0</v>
      </c>
      <c r="K252" s="33">
        <f>SUM('Школы БУ'!K252+'Школы АУ'!K252)</f>
        <v>0</v>
      </c>
      <c r="L252" s="33">
        <f>SUM('Школы БУ'!L252+'Школы АУ'!L252)</f>
        <v>0</v>
      </c>
      <c r="M252" s="33">
        <f>SUM('Школы БУ'!M252+'Школы АУ'!M252)</f>
        <v>0</v>
      </c>
      <c r="N252" s="33">
        <f>SUM('Школы БУ'!N252+'Школы АУ'!N252)</f>
        <v>0</v>
      </c>
      <c r="O252" s="33">
        <f>SUM('Школы БУ'!O252+'Школы АУ'!O252)</f>
        <v>0</v>
      </c>
      <c r="P252" s="33">
        <f>SUM('Школы БУ'!P252+'Школы АУ'!P252)</f>
        <v>0</v>
      </c>
      <c r="Q252" s="33">
        <f>SUM('Школы БУ'!Q252+'Школы АУ'!Q252)</f>
        <v>0</v>
      </c>
      <c r="R252" s="33">
        <f>SUM('Школы БУ'!R252+'Школы АУ'!R252)</f>
        <v>0</v>
      </c>
      <c r="S252" s="33">
        <f>SUM('Школы БУ'!S252+'Школы АУ'!S252)</f>
        <v>0</v>
      </c>
      <c r="T252" s="33">
        <f>SUM('Школы БУ'!T252+'Школы АУ'!T252)</f>
        <v>0</v>
      </c>
    </row>
    <row r="253" spans="1:20" s="6" customFormat="1" ht="16.5" x14ac:dyDescent="0.25">
      <c r="A253" s="63" t="s">
        <v>268</v>
      </c>
      <c r="B253" s="28" t="s">
        <v>64</v>
      </c>
      <c r="C253" s="51">
        <v>225</v>
      </c>
      <c r="D253" s="33">
        <f t="shared" si="62"/>
        <v>2835370.6100000003</v>
      </c>
      <c r="E253" s="33">
        <f t="shared" si="63"/>
        <v>879861.52</v>
      </c>
      <c r="F253" s="33"/>
      <c r="G253" s="33">
        <f>SUM('Школы БУ'!G253+'Школы АУ'!G253)</f>
        <v>0</v>
      </c>
      <c r="H253" s="33">
        <f>SUM('Школы БУ'!H253+'Школы АУ'!H253)</f>
        <v>0</v>
      </c>
      <c r="I253" s="33">
        <f>SUM('Школы БУ'!I253+'Школы АУ'!I253)</f>
        <v>0</v>
      </c>
      <c r="J253" s="33">
        <f>SUM('Школы БУ'!J253+'Школы АУ'!J253)</f>
        <v>0</v>
      </c>
      <c r="K253" s="33">
        <f>SUM('Школы БУ'!K253+'Школы АУ'!K253)</f>
        <v>0</v>
      </c>
      <c r="L253" s="33">
        <f>SUM('Школы БУ'!L253+'Школы АУ'!L253)</f>
        <v>0</v>
      </c>
      <c r="M253" s="33">
        <f>SUM('Школы БУ'!M253+'Школы АУ'!M253)</f>
        <v>0</v>
      </c>
      <c r="N253" s="33">
        <f>SUM('Школы БУ'!N253+'Школы АУ'!N253)</f>
        <v>0</v>
      </c>
      <c r="O253" s="33">
        <f>SUM('Школы БУ'!O253+'Школы АУ'!O253)</f>
        <v>0</v>
      </c>
      <c r="P253" s="33">
        <f>SUM('Школы БУ'!P253+'Школы АУ'!P253)</f>
        <v>0</v>
      </c>
      <c r="Q253" s="33">
        <f>SUM('Школы БУ'!Q253+'Школы АУ'!Q253)</f>
        <v>0</v>
      </c>
      <c r="R253" s="33">
        <f>SUM('Школы БУ'!R253+'Школы АУ'!R253)</f>
        <v>0</v>
      </c>
      <c r="S253" s="33">
        <f>SUM('Школы БУ'!S253+'Школы АУ'!S253)</f>
        <v>2835370.6100000003</v>
      </c>
      <c r="T253" s="33">
        <f>SUM('Школы БУ'!T253+'Школы АУ'!T253)</f>
        <v>879861.52</v>
      </c>
    </row>
    <row r="254" spans="1:20" s="6" customFormat="1" ht="16.5" x14ac:dyDescent="0.25">
      <c r="A254" s="63" t="s">
        <v>269</v>
      </c>
      <c r="B254" s="28" t="s">
        <v>66</v>
      </c>
      <c r="C254" s="51">
        <v>226</v>
      </c>
      <c r="D254" s="33">
        <f t="shared" si="62"/>
        <v>7854061.7300000004</v>
      </c>
      <c r="E254" s="33">
        <f t="shared" si="63"/>
        <v>3457881.6</v>
      </c>
      <c r="F254" s="33"/>
      <c r="G254" s="33">
        <f>SUM('Школы БУ'!G254+'Школы АУ'!G254)</f>
        <v>0</v>
      </c>
      <c r="H254" s="33">
        <f>SUM('Школы БУ'!H254+'Школы АУ'!H254)</f>
        <v>0</v>
      </c>
      <c r="I254" s="33">
        <f>SUM('Школы БУ'!I254+'Школы АУ'!I254)</f>
        <v>0</v>
      </c>
      <c r="J254" s="33">
        <f>SUM('Школы БУ'!J254+'Школы АУ'!J254)</f>
        <v>0</v>
      </c>
      <c r="K254" s="33">
        <f>SUM('Школы БУ'!K254+'Школы АУ'!K254)</f>
        <v>0</v>
      </c>
      <c r="L254" s="33">
        <f>SUM('Школы БУ'!L254+'Школы АУ'!L254)</f>
        <v>0</v>
      </c>
      <c r="M254" s="33">
        <f>SUM('Школы БУ'!M254+'Школы АУ'!M254)</f>
        <v>0</v>
      </c>
      <c r="N254" s="33">
        <f>SUM('Школы БУ'!N254+'Школы АУ'!N254)</f>
        <v>0</v>
      </c>
      <c r="O254" s="33">
        <f>SUM('Школы БУ'!O254+'Школы АУ'!O254)</f>
        <v>0</v>
      </c>
      <c r="P254" s="33">
        <f>SUM('Школы БУ'!P254+'Школы АУ'!P254)</f>
        <v>0</v>
      </c>
      <c r="Q254" s="33">
        <f>SUM('Школы БУ'!Q254+'Школы АУ'!Q254)</f>
        <v>0</v>
      </c>
      <c r="R254" s="33">
        <f>SUM('Школы БУ'!R254+'Школы АУ'!R254)</f>
        <v>0</v>
      </c>
      <c r="S254" s="33">
        <f>SUM('Школы БУ'!S254+'Школы АУ'!S254)</f>
        <v>7854061.7300000004</v>
      </c>
      <c r="T254" s="33">
        <f>SUM('Школы БУ'!T254+'Школы АУ'!T254)</f>
        <v>3457881.6</v>
      </c>
    </row>
    <row r="255" spans="1:20" s="6" customFormat="1" ht="16.5" x14ac:dyDescent="0.25">
      <c r="A255" s="63" t="s">
        <v>270</v>
      </c>
      <c r="B255" s="58" t="s">
        <v>225</v>
      </c>
      <c r="C255" s="51">
        <v>226</v>
      </c>
      <c r="D255" s="33">
        <f t="shared" si="62"/>
        <v>507071.95</v>
      </c>
      <c r="E255" s="33">
        <f t="shared" si="63"/>
        <v>0</v>
      </c>
      <c r="F255" s="33"/>
      <c r="G255" s="33">
        <f>SUM('Школы БУ'!G255+'Школы АУ'!G255)</f>
        <v>0</v>
      </c>
      <c r="H255" s="33">
        <f>SUM('Школы БУ'!H255+'Школы АУ'!H255)</f>
        <v>0</v>
      </c>
      <c r="I255" s="33">
        <f>SUM('Школы БУ'!I255+'Школы АУ'!I255)</f>
        <v>0</v>
      </c>
      <c r="J255" s="33">
        <f>SUM('Школы БУ'!J255+'Школы АУ'!J255)</f>
        <v>0</v>
      </c>
      <c r="K255" s="33">
        <f>SUM('Школы БУ'!K255+'Школы АУ'!K255)</f>
        <v>0</v>
      </c>
      <c r="L255" s="33">
        <f>SUM('Школы БУ'!L255+'Школы АУ'!L255)</f>
        <v>0</v>
      </c>
      <c r="M255" s="33">
        <f>SUM('Школы БУ'!M255+'Школы АУ'!M255)</f>
        <v>0</v>
      </c>
      <c r="N255" s="33">
        <f>SUM('Школы БУ'!N255+'Школы АУ'!N255)</f>
        <v>0</v>
      </c>
      <c r="O255" s="33">
        <f>SUM('Школы БУ'!O255+'Школы АУ'!O255)</f>
        <v>0</v>
      </c>
      <c r="P255" s="33">
        <f>SUM('Школы БУ'!P255+'Школы АУ'!P255)</f>
        <v>0</v>
      </c>
      <c r="Q255" s="33">
        <f>SUM('Школы БУ'!Q255+'Школы АУ'!Q255)</f>
        <v>0</v>
      </c>
      <c r="R255" s="33">
        <f>SUM('Школы БУ'!R255+'Школы АУ'!R255)</f>
        <v>0</v>
      </c>
      <c r="S255" s="33">
        <f>SUM('Школы БУ'!S255+'Школы АУ'!S255)</f>
        <v>507071.95</v>
      </c>
      <c r="T255" s="33">
        <f>SUM('Школы БУ'!T255+'Школы АУ'!T255)</f>
        <v>0</v>
      </c>
    </row>
    <row r="256" spans="1:20" s="6" customFormat="1" ht="16.5" x14ac:dyDescent="0.25">
      <c r="A256" s="63" t="s">
        <v>271</v>
      </c>
      <c r="B256" s="28" t="s">
        <v>68</v>
      </c>
      <c r="C256" s="51">
        <v>290</v>
      </c>
      <c r="D256" s="33">
        <f t="shared" si="62"/>
        <v>2915899.3600000003</v>
      </c>
      <c r="E256" s="33">
        <f t="shared" si="63"/>
        <v>67911.06</v>
      </c>
      <c r="F256" s="33"/>
      <c r="G256" s="33">
        <f>SUM('Школы БУ'!G256+'Школы АУ'!G256)</f>
        <v>0</v>
      </c>
      <c r="H256" s="33">
        <f>SUM('Школы БУ'!H256+'Школы АУ'!H256)</f>
        <v>0</v>
      </c>
      <c r="I256" s="33">
        <f>SUM('Школы БУ'!I256+'Школы АУ'!I256)</f>
        <v>0</v>
      </c>
      <c r="J256" s="33">
        <f>SUM('Школы БУ'!J256+'Школы АУ'!J256)</f>
        <v>0</v>
      </c>
      <c r="K256" s="33">
        <f>SUM('Школы БУ'!K256+'Школы АУ'!K256)</f>
        <v>0</v>
      </c>
      <c r="L256" s="33">
        <f>SUM('Школы БУ'!L256+'Школы АУ'!L256)</f>
        <v>0</v>
      </c>
      <c r="M256" s="33">
        <f>SUM('Школы БУ'!M256+'Школы АУ'!M256)</f>
        <v>0</v>
      </c>
      <c r="N256" s="33">
        <f>SUM('Школы БУ'!N256+'Школы АУ'!N256)</f>
        <v>0</v>
      </c>
      <c r="O256" s="33">
        <f>SUM('Школы БУ'!O256+'Школы АУ'!O256)</f>
        <v>0</v>
      </c>
      <c r="P256" s="33">
        <f>SUM('Школы БУ'!P256+'Школы АУ'!P256)</f>
        <v>0</v>
      </c>
      <c r="Q256" s="33">
        <f>SUM('Школы БУ'!Q256+'Школы АУ'!Q256)</f>
        <v>0</v>
      </c>
      <c r="R256" s="33">
        <f>SUM('Школы БУ'!R256+'Школы АУ'!R256)</f>
        <v>0</v>
      </c>
      <c r="S256" s="33">
        <f>SUM('Школы БУ'!S256+'Школы АУ'!S256)</f>
        <v>2915899.3600000003</v>
      </c>
      <c r="T256" s="33">
        <f>SUM('Школы БУ'!T256+'Школы АУ'!T256)</f>
        <v>67911.06</v>
      </c>
    </row>
    <row r="257" spans="1:20" s="6" customFormat="1" ht="16.5" x14ac:dyDescent="0.25">
      <c r="A257" s="63" t="s">
        <v>272</v>
      </c>
      <c r="B257" s="58" t="s">
        <v>72</v>
      </c>
      <c r="C257" s="51">
        <v>310</v>
      </c>
      <c r="D257" s="33">
        <f t="shared" si="62"/>
        <v>4760342.95</v>
      </c>
      <c r="E257" s="33">
        <f t="shared" si="63"/>
        <v>376985.1</v>
      </c>
      <c r="F257" s="33"/>
      <c r="G257" s="33">
        <f>SUM('Школы БУ'!G257+'Школы АУ'!G257)</f>
        <v>0</v>
      </c>
      <c r="H257" s="33">
        <f>SUM('Школы БУ'!H257+'Школы АУ'!H257)</f>
        <v>0</v>
      </c>
      <c r="I257" s="33">
        <f>SUM('Школы БУ'!I257+'Школы АУ'!I257)</f>
        <v>0</v>
      </c>
      <c r="J257" s="33">
        <f>SUM('Школы БУ'!J257+'Школы АУ'!J257)</f>
        <v>0</v>
      </c>
      <c r="K257" s="33">
        <f>SUM('Школы БУ'!K257+'Школы АУ'!K257)</f>
        <v>0</v>
      </c>
      <c r="L257" s="33">
        <f>SUM('Школы БУ'!L257+'Школы АУ'!L257)</f>
        <v>0</v>
      </c>
      <c r="M257" s="33">
        <f>SUM('Школы БУ'!M257+'Школы АУ'!M257)</f>
        <v>0</v>
      </c>
      <c r="N257" s="33">
        <f>SUM('Школы БУ'!N257+'Школы АУ'!N257)</f>
        <v>0</v>
      </c>
      <c r="O257" s="33">
        <f>SUM('Школы БУ'!O257+'Школы АУ'!O257)</f>
        <v>0</v>
      </c>
      <c r="P257" s="33">
        <f>SUM('Школы БУ'!P257+'Школы АУ'!P257)</f>
        <v>0</v>
      </c>
      <c r="Q257" s="33">
        <f>SUM('Школы БУ'!Q257+'Школы АУ'!Q257)</f>
        <v>0</v>
      </c>
      <c r="R257" s="33">
        <f>SUM('Школы БУ'!R257+'Школы АУ'!R257)</f>
        <v>0</v>
      </c>
      <c r="S257" s="33">
        <f>SUM('Школы БУ'!S257+'Школы АУ'!S257)</f>
        <v>4760342.95</v>
      </c>
      <c r="T257" s="33">
        <f>SUM('Школы БУ'!T257+'Школы АУ'!T257)</f>
        <v>376985.1</v>
      </c>
    </row>
    <row r="258" spans="1:20" s="6" customFormat="1" ht="16.5" x14ac:dyDescent="0.25">
      <c r="A258" s="63" t="s">
        <v>273</v>
      </c>
      <c r="B258" s="58" t="s">
        <v>243</v>
      </c>
      <c r="C258" s="51">
        <v>340</v>
      </c>
      <c r="D258" s="33">
        <f t="shared" si="62"/>
        <v>9868921.8999999985</v>
      </c>
      <c r="E258" s="33">
        <f t="shared" si="63"/>
        <v>2534242.5499999998</v>
      </c>
      <c r="F258" s="33"/>
      <c r="G258" s="33">
        <f>SUM('Школы БУ'!G258+'Школы АУ'!G258)</f>
        <v>0</v>
      </c>
      <c r="H258" s="33">
        <f>SUM('Школы БУ'!H258+'Школы АУ'!H258)</f>
        <v>0</v>
      </c>
      <c r="I258" s="33">
        <f>SUM('Школы БУ'!I258+'Школы АУ'!I258)</f>
        <v>0</v>
      </c>
      <c r="J258" s="33">
        <f>SUM('Школы БУ'!J258+'Школы АУ'!J258)</f>
        <v>0</v>
      </c>
      <c r="K258" s="33">
        <f>SUM('Школы БУ'!K258+'Школы АУ'!K258)</f>
        <v>0</v>
      </c>
      <c r="L258" s="33">
        <f>SUM('Школы БУ'!L258+'Школы АУ'!L258)</f>
        <v>0</v>
      </c>
      <c r="M258" s="33">
        <f>SUM('Школы БУ'!M258+'Школы АУ'!M258)</f>
        <v>0</v>
      </c>
      <c r="N258" s="33">
        <f>SUM('Школы БУ'!N258+'Школы АУ'!N258)</f>
        <v>0</v>
      </c>
      <c r="O258" s="33">
        <f>SUM('Школы БУ'!O258+'Школы АУ'!O258)</f>
        <v>0</v>
      </c>
      <c r="P258" s="33">
        <f>SUM('Школы БУ'!P258+'Школы АУ'!P258)</f>
        <v>0</v>
      </c>
      <c r="Q258" s="33">
        <f>SUM('Школы БУ'!Q258+'Школы АУ'!Q258)</f>
        <v>0</v>
      </c>
      <c r="R258" s="33">
        <f>SUM('Школы БУ'!R258+'Школы АУ'!R258)</f>
        <v>0</v>
      </c>
      <c r="S258" s="33">
        <f>SUM('Школы БУ'!S258+'Школы АУ'!S258)</f>
        <v>9868921.8999999985</v>
      </c>
      <c r="T258" s="33">
        <f>SUM('Школы БУ'!T258+'Школы АУ'!T258)</f>
        <v>2534242.5499999998</v>
      </c>
    </row>
    <row r="259" spans="1:20" s="18" customFormat="1" ht="20.25" customHeight="1" x14ac:dyDescent="0.25">
      <c r="A259" s="168" t="s">
        <v>304</v>
      </c>
      <c r="B259" s="168"/>
      <c r="C259" s="49"/>
      <c r="D259" s="34">
        <f>SUM(D15+D31-D47)</f>
        <v>0</v>
      </c>
      <c r="E259" s="34">
        <f t="shared" ref="E259" si="70">SUM(E15+E31-E47)</f>
        <v>62792240.669999838</v>
      </c>
      <c r="F259" s="34"/>
      <c r="G259" s="34">
        <f t="shared" ref="G259:T259" si="71">SUM(G15+G31-G47)</f>
        <v>0</v>
      </c>
      <c r="H259" s="34">
        <f t="shared" si="71"/>
        <v>17707600.559999973</v>
      </c>
      <c r="I259" s="34">
        <f t="shared" si="71"/>
        <v>0</v>
      </c>
      <c r="J259" s="34">
        <f t="shared" si="71"/>
        <v>16248727.549999952</v>
      </c>
      <c r="K259" s="34">
        <f t="shared" si="71"/>
        <v>0</v>
      </c>
      <c r="L259" s="34">
        <f t="shared" si="71"/>
        <v>185391.08000000007</v>
      </c>
      <c r="M259" s="34">
        <f t="shared" si="71"/>
        <v>0</v>
      </c>
      <c r="N259" s="34">
        <f t="shared" si="71"/>
        <v>76338.070000000065</v>
      </c>
      <c r="O259" s="34">
        <f t="shared" si="71"/>
        <v>0</v>
      </c>
      <c r="P259" s="34">
        <f t="shared" si="71"/>
        <v>1215569.2300000004</v>
      </c>
      <c r="Q259" s="34">
        <f t="shared" si="71"/>
        <v>0</v>
      </c>
      <c r="R259" s="34">
        <f>SUM(R15+R31-R47)</f>
        <v>245.78</v>
      </c>
      <c r="S259" s="34">
        <f t="shared" si="71"/>
        <v>0</v>
      </c>
      <c r="T259" s="34">
        <f t="shared" si="71"/>
        <v>27358368.400000006</v>
      </c>
    </row>
    <row r="260" spans="1:20" s="18" customFormat="1" ht="34.5" x14ac:dyDescent="0.25">
      <c r="A260" s="47" t="s">
        <v>17</v>
      </c>
      <c r="B260" s="48" t="s">
        <v>18</v>
      </c>
      <c r="C260" s="49"/>
      <c r="D260" s="34">
        <f t="shared" ref="D260:E261" si="72">D16+D32-D48</f>
        <v>0</v>
      </c>
      <c r="E260" s="34">
        <f t="shared" si="72"/>
        <v>27228823.529999852</v>
      </c>
      <c r="F260" s="34"/>
      <c r="G260" s="34">
        <f t="shared" ref="G260:T260" si="73">G16+G32-G48</f>
        <v>0</v>
      </c>
      <c r="H260" s="34">
        <f t="shared" si="73"/>
        <v>9502797.599999994</v>
      </c>
      <c r="I260" s="34">
        <f t="shared" si="73"/>
        <v>0</v>
      </c>
      <c r="J260" s="34">
        <f t="shared" si="73"/>
        <v>16248727.549999952</v>
      </c>
      <c r="K260" s="34">
        <f t="shared" si="73"/>
        <v>0</v>
      </c>
      <c r="L260" s="34">
        <f t="shared" si="73"/>
        <v>185391.08000000007</v>
      </c>
      <c r="M260" s="34">
        <f t="shared" si="73"/>
        <v>0</v>
      </c>
      <c r="N260" s="34">
        <f t="shared" si="73"/>
        <v>76338.070000000065</v>
      </c>
      <c r="O260" s="34">
        <f t="shared" si="73"/>
        <v>0</v>
      </c>
      <c r="P260" s="34">
        <f t="shared" si="73"/>
        <v>1215569.2300000004</v>
      </c>
      <c r="Q260" s="34">
        <f t="shared" si="73"/>
        <v>0</v>
      </c>
      <c r="R260" s="34">
        <f t="shared" si="73"/>
        <v>0</v>
      </c>
      <c r="S260" s="34">
        <f t="shared" si="73"/>
        <v>0</v>
      </c>
      <c r="T260" s="34">
        <f t="shared" si="73"/>
        <v>0</v>
      </c>
    </row>
    <row r="261" spans="1:20" s="6" customFormat="1" ht="16.5" x14ac:dyDescent="0.25">
      <c r="A261" s="50" t="s">
        <v>19</v>
      </c>
      <c r="B261" s="28" t="s">
        <v>274</v>
      </c>
      <c r="C261" s="51"/>
      <c r="D261" s="33">
        <f t="shared" si="72"/>
        <v>0</v>
      </c>
      <c r="E261" s="33">
        <f t="shared" si="72"/>
        <v>21634388.599999905</v>
      </c>
      <c r="F261" s="33"/>
      <c r="G261" s="33">
        <f t="shared" ref="G261:T261" si="74">G17+G33-G49</f>
        <v>0</v>
      </c>
      <c r="H261" s="33">
        <f t="shared" si="74"/>
        <v>3908362.6699999869</v>
      </c>
      <c r="I261" s="33">
        <f t="shared" si="74"/>
        <v>0</v>
      </c>
      <c r="J261" s="33">
        <f t="shared" si="74"/>
        <v>16248727.549999952</v>
      </c>
      <c r="K261" s="33">
        <f t="shared" si="74"/>
        <v>0</v>
      </c>
      <c r="L261" s="33">
        <f t="shared" si="74"/>
        <v>185391.08000000007</v>
      </c>
      <c r="M261" s="33">
        <f t="shared" si="74"/>
        <v>0</v>
      </c>
      <c r="N261" s="33">
        <f t="shared" si="74"/>
        <v>76338.070000000065</v>
      </c>
      <c r="O261" s="33">
        <f t="shared" si="74"/>
        <v>0</v>
      </c>
      <c r="P261" s="33">
        <f t="shared" si="74"/>
        <v>1215569.2300000004</v>
      </c>
      <c r="Q261" s="33">
        <f t="shared" si="74"/>
        <v>0</v>
      </c>
      <c r="R261" s="33">
        <f t="shared" si="74"/>
        <v>0</v>
      </c>
      <c r="S261" s="33">
        <f t="shared" si="74"/>
        <v>0</v>
      </c>
      <c r="T261" s="33">
        <f t="shared" si="74"/>
        <v>0</v>
      </c>
    </row>
    <row r="262" spans="1:20" s="6" customFormat="1" ht="16.5" x14ac:dyDescent="0.25">
      <c r="A262" s="50" t="s">
        <v>21</v>
      </c>
      <c r="B262" s="28" t="s">
        <v>22</v>
      </c>
      <c r="C262" s="51"/>
      <c r="D262" s="33">
        <f t="shared" ref="D262:E262" si="75">SUM(D18+D34-D78)</f>
        <v>0</v>
      </c>
      <c r="E262" s="33">
        <f t="shared" si="75"/>
        <v>5594434.9299999997</v>
      </c>
      <c r="F262" s="33"/>
      <c r="G262" s="33">
        <f t="shared" ref="G262:T262" si="76">SUM(G18+G34-G78)</f>
        <v>0</v>
      </c>
      <c r="H262" s="33">
        <f t="shared" si="76"/>
        <v>5594434.9299999997</v>
      </c>
      <c r="I262" s="33">
        <f t="shared" si="76"/>
        <v>0</v>
      </c>
      <c r="J262" s="33">
        <f t="shared" si="76"/>
        <v>0</v>
      </c>
      <c r="K262" s="33">
        <f t="shared" si="76"/>
        <v>0</v>
      </c>
      <c r="L262" s="33">
        <f t="shared" si="76"/>
        <v>0</v>
      </c>
      <c r="M262" s="33">
        <f t="shared" si="76"/>
        <v>0</v>
      </c>
      <c r="N262" s="33">
        <f t="shared" si="76"/>
        <v>0</v>
      </c>
      <c r="O262" s="33">
        <f t="shared" si="76"/>
        <v>0</v>
      </c>
      <c r="P262" s="33">
        <f t="shared" si="76"/>
        <v>0</v>
      </c>
      <c r="Q262" s="33">
        <f t="shared" si="76"/>
        <v>0</v>
      </c>
      <c r="R262" s="33">
        <f t="shared" si="76"/>
        <v>0</v>
      </c>
      <c r="S262" s="33">
        <f t="shared" si="76"/>
        <v>0</v>
      </c>
      <c r="T262" s="33">
        <f t="shared" si="76"/>
        <v>0</v>
      </c>
    </row>
    <row r="263" spans="1:20" s="6" customFormat="1" ht="16.5" x14ac:dyDescent="0.25">
      <c r="A263" s="52" t="s">
        <v>23</v>
      </c>
      <c r="B263" s="28" t="s">
        <v>24</v>
      </c>
      <c r="C263" s="51"/>
      <c r="D263" s="33">
        <f t="shared" ref="D263:E263" si="77">SUM(D19+D35-D82)</f>
        <v>0</v>
      </c>
      <c r="E263" s="33">
        <f t="shared" si="77"/>
        <v>0</v>
      </c>
      <c r="F263" s="33"/>
      <c r="G263" s="33">
        <f t="shared" ref="G263:T263" si="78">SUM(G19+G35-G82)</f>
        <v>0</v>
      </c>
      <c r="H263" s="33">
        <f t="shared" si="78"/>
        <v>0</v>
      </c>
      <c r="I263" s="33">
        <f t="shared" si="78"/>
        <v>0</v>
      </c>
      <c r="J263" s="33">
        <f t="shared" si="78"/>
        <v>0</v>
      </c>
      <c r="K263" s="33">
        <f t="shared" si="78"/>
        <v>0</v>
      </c>
      <c r="L263" s="33">
        <f t="shared" si="78"/>
        <v>0</v>
      </c>
      <c r="M263" s="33">
        <f t="shared" si="78"/>
        <v>0</v>
      </c>
      <c r="N263" s="33">
        <f t="shared" si="78"/>
        <v>0</v>
      </c>
      <c r="O263" s="33">
        <f t="shared" si="78"/>
        <v>0</v>
      </c>
      <c r="P263" s="33">
        <f t="shared" si="78"/>
        <v>0</v>
      </c>
      <c r="Q263" s="33">
        <f t="shared" si="78"/>
        <v>0</v>
      </c>
      <c r="R263" s="33">
        <f t="shared" si="78"/>
        <v>0</v>
      </c>
      <c r="S263" s="33">
        <f t="shared" si="78"/>
        <v>0</v>
      </c>
      <c r="T263" s="33">
        <f t="shared" si="78"/>
        <v>0</v>
      </c>
    </row>
    <row r="264" spans="1:20" s="18" customFormat="1" ht="17.25" x14ac:dyDescent="0.25">
      <c r="A264" s="53" t="s">
        <v>25</v>
      </c>
      <c r="B264" s="48" t="s">
        <v>26</v>
      </c>
      <c r="C264" s="49"/>
      <c r="D264" s="34">
        <f t="shared" ref="D264:E265" si="79">D20+D36-D84</f>
        <v>0</v>
      </c>
      <c r="E264" s="34">
        <f t="shared" si="79"/>
        <v>8205048.7400000021</v>
      </c>
      <c r="F264" s="34"/>
      <c r="G264" s="34">
        <f t="shared" ref="G264:T264" si="80">G20+G36-G84</f>
        <v>0</v>
      </c>
      <c r="H264" s="34">
        <f t="shared" si="80"/>
        <v>8204802.9600000009</v>
      </c>
      <c r="I264" s="34">
        <f t="shared" si="80"/>
        <v>0</v>
      </c>
      <c r="J264" s="34">
        <f t="shared" si="80"/>
        <v>0</v>
      </c>
      <c r="K264" s="34">
        <f t="shared" si="80"/>
        <v>0</v>
      </c>
      <c r="L264" s="34">
        <f t="shared" si="80"/>
        <v>0</v>
      </c>
      <c r="M264" s="34">
        <f t="shared" si="80"/>
        <v>0</v>
      </c>
      <c r="N264" s="34">
        <f t="shared" si="80"/>
        <v>0</v>
      </c>
      <c r="O264" s="34">
        <f t="shared" si="80"/>
        <v>0</v>
      </c>
      <c r="P264" s="34">
        <f t="shared" si="80"/>
        <v>0</v>
      </c>
      <c r="Q264" s="34">
        <f t="shared" si="80"/>
        <v>0</v>
      </c>
      <c r="R264" s="34">
        <f t="shared" si="80"/>
        <v>245.78</v>
      </c>
      <c r="S264" s="34">
        <f t="shared" si="80"/>
        <v>0</v>
      </c>
      <c r="T264" s="34">
        <f t="shared" si="80"/>
        <v>0</v>
      </c>
    </row>
    <row r="265" spans="1:20" s="6" customFormat="1" ht="33" x14ac:dyDescent="0.25">
      <c r="A265" s="73" t="s">
        <v>27</v>
      </c>
      <c r="B265" s="58" t="s">
        <v>300</v>
      </c>
      <c r="C265" s="51"/>
      <c r="D265" s="33">
        <f t="shared" si="79"/>
        <v>0</v>
      </c>
      <c r="E265" s="33">
        <f t="shared" si="79"/>
        <v>7887500.5700000003</v>
      </c>
      <c r="F265" s="33"/>
      <c r="G265" s="33">
        <f t="shared" ref="G265:T265" si="81">G21+G37-G85</f>
        <v>0</v>
      </c>
      <c r="H265" s="33">
        <f t="shared" si="81"/>
        <v>7887254.7899999991</v>
      </c>
      <c r="I265" s="33">
        <f t="shared" si="81"/>
        <v>0</v>
      </c>
      <c r="J265" s="33">
        <f t="shared" si="81"/>
        <v>0</v>
      </c>
      <c r="K265" s="33">
        <f t="shared" si="81"/>
        <v>0</v>
      </c>
      <c r="L265" s="33">
        <f t="shared" si="81"/>
        <v>0</v>
      </c>
      <c r="M265" s="33">
        <f t="shared" si="81"/>
        <v>0</v>
      </c>
      <c r="N265" s="33">
        <f t="shared" si="81"/>
        <v>0</v>
      </c>
      <c r="O265" s="33">
        <f t="shared" si="81"/>
        <v>0</v>
      </c>
      <c r="P265" s="33">
        <f t="shared" si="81"/>
        <v>0</v>
      </c>
      <c r="Q265" s="33">
        <f t="shared" si="81"/>
        <v>0</v>
      </c>
      <c r="R265" s="33">
        <f t="shared" si="81"/>
        <v>245.78</v>
      </c>
      <c r="S265" s="33">
        <f t="shared" si="81"/>
        <v>0</v>
      </c>
      <c r="T265" s="33">
        <f t="shared" si="81"/>
        <v>0</v>
      </c>
    </row>
    <row r="266" spans="1:20" s="6" customFormat="1" ht="33" x14ac:dyDescent="0.25">
      <c r="A266" s="73" t="s">
        <v>29</v>
      </c>
      <c r="B266" s="58" t="s">
        <v>44</v>
      </c>
      <c r="C266" s="51"/>
      <c r="D266" s="33">
        <f t="shared" ref="D266:E266" si="82">D22+D38-D165</f>
        <v>0</v>
      </c>
      <c r="E266" s="33">
        <f t="shared" si="82"/>
        <v>0</v>
      </c>
      <c r="F266" s="33"/>
      <c r="G266" s="33">
        <f t="shared" ref="G266:T266" si="83">G22+G38-G165</f>
        <v>0</v>
      </c>
      <c r="H266" s="33">
        <f t="shared" si="83"/>
        <v>0</v>
      </c>
      <c r="I266" s="33">
        <f t="shared" si="83"/>
        <v>0</v>
      </c>
      <c r="J266" s="33">
        <f t="shared" si="83"/>
        <v>0</v>
      </c>
      <c r="K266" s="33">
        <f t="shared" si="83"/>
        <v>0</v>
      </c>
      <c r="L266" s="33">
        <f t="shared" si="83"/>
        <v>0</v>
      </c>
      <c r="M266" s="33">
        <f t="shared" si="83"/>
        <v>0</v>
      </c>
      <c r="N266" s="33">
        <f t="shared" si="83"/>
        <v>0</v>
      </c>
      <c r="O266" s="33">
        <f t="shared" si="83"/>
        <v>0</v>
      </c>
      <c r="P266" s="33">
        <f t="shared" si="83"/>
        <v>0</v>
      </c>
      <c r="Q266" s="33">
        <f t="shared" si="83"/>
        <v>0</v>
      </c>
      <c r="R266" s="33">
        <f t="shared" si="83"/>
        <v>0</v>
      </c>
      <c r="S266" s="33">
        <f t="shared" si="83"/>
        <v>0</v>
      </c>
      <c r="T266" s="33">
        <f t="shared" si="83"/>
        <v>0</v>
      </c>
    </row>
    <row r="267" spans="1:20" s="6" customFormat="1" ht="66" x14ac:dyDescent="0.25">
      <c r="A267" s="73" t="s">
        <v>31</v>
      </c>
      <c r="B267" s="28" t="s">
        <v>189</v>
      </c>
      <c r="C267" s="51"/>
      <c r="D267" s="33">
        <f t="shared" ref="D267:E267" si="84">D23+D39-D168</f>
        <v>0</v>
      </c>
      <c r="E267" s="33">
        <f t="shared" si="84"/>
        <v>144842.09000000003</v>
      </c>
      <c r="F267" s="33"/>
      <c r="G267" s="33">
        <f t="shared" ref="G267:T267" si="85">G23+G39-G168</f>
        <v>0</v>
      </c>
      <c r="H267" s="33">
        <f t="shared" si="85"/>
        <v>144842.09000000003</v>
      </c>
      <c r="I267" s="33">
        <f t="shared" si="85"/>
        <v>0</v>
      </c>
      <c r="J267" s="33">
        <f t="shared" si="85"/>
        <v>0</v>
      </c>
      <c r="K267" s="33">
        <f t="shared" si="85"/>
        <v>0</v>
      </c>
      <c r="L267" s="33">
        <f t="shared" si="85"/>
        <v>0</v>
      </c>
      <c r="M267" s="33">
        <f t="shared" si="85"/>
        <v>0</v>
      </c>
      <c r="N267" s="33">
        <f t="shared" si="85"/>
        <v>0</v>
      </c>
      <c r="O267" s="33">
        <f t="shared" si="85"/>
        <v>0</v>
      </c>
      <c r="P267" s="33">
        <f t="shared" si="85"/>
        <v>0</v>
      </c>
      <c r="Q267" s="33">
        <f t="shared" si="85"/>
        <v>0</v>
      </c>
      <c r="R267" s="33">
        <f t="shared" si="85"/>
        <v>0</v>
      </c>
      <c r="S267" s="33">
        <f t="shared" si="85"/>
        <v>0</v>
      </c>
      <c r="T267" s="33">
        <f t="shared" si="85"/>
        <v>0</v>
      </c>
    </row>
    <row r="268" spans="1:20" s="6" customFormat="1" ht="33" x14ac:dyDescent="0.25">
      <c r="A268" s="73" t="s">
        <v>33</v>
      </c>
      <c r="B268" s="58" t="s">
        <v>34</v>
      </c>
      <c r="C268" s="51"/>
      <c r="D268" s="33">
        <f t="shared" ref="D268:E268" si="86">D24+D40-D174</f>
        <v>0</v>
      </c>
      <c r="E268" s="33">
        <f t="shared" si="86"/>
        <v>172706.08000000007</v>
      </c>
      <c r="F268" s="33"/>
      <c r="G268" s="33">
        <f t="shared" ref="G268:T268" si="87">G24+G40-G174</f>
        <v>0</v>
      </c>
      <c r="H268" s="33">
        <f t="shared" si="87"/>
        <v>172706.08000000007</v>
      </c>
      <c r="I268" s="33">
        <f t="shared" si="87"/>
        <v>0</v>
      </c>
      <c r="J268" s="33">
        <f t="shared" si="87"/>
        <v>0</v>
      </c>
      <c r="K268" s="33">
        <f t="shared" si="87"/>
        <v>0</v>
      </c>
      <c r="L268" s="33">
        <f t="shared" si="87"/>
        <v>0</v>
      </c>
      <c r="M268" s="33">
        <f t="shared" si="87"/>
        <v>0</v>
      </c>
      <c r="N268" s="33">
        <f t="shared" si="87"/>
        <v>0</v>
      </c>
      <c r="O268" s="33">
        <f t="shared" si="87"/>
        <v>0</v>
      </c>
      <c r="P268" s="33">
        <f t="shared" si="87"/>
        <v>0</v>
      </c>
      <c r="Q268" s="33">
        <f t="shared" si="87"/>
        <v>0</v>
      </c>
      <c r="R268" s="33">
        <f t="shared" si="87"/>
        <v>0</v>
      </c>
      <c r="S268" s="33">
        <f t="shared" si="87"/>
        <v>0</v>
      </c>
      <c r="T268" s="33">
        <f t="shared" si="87"/>
        <v>0</v>
      </c>
    </row>
    <row r="269" spans="1:20" s="6" customFormat="1" ht="49.5" x14ac:dyDescent="0.25">
      <c r="A269" s="73" t="s">
        <v>35</v>
      </c>
      <c r="B269" s="58" t="s">
        <v>36</v>
      </c>
      <c r="C269" s="51"/>
      <c r="D269" s="33">
        <f t="shared" ref="D269:E269" si="88">D25+D41-D180</f>
        <v>0</v>
      </c>
      <c r="E269" s="33">
        <f t="shared" si="88"/>
        <v>0</v>
      </c>
      <c r="F269" s="33"/>
      <c r="G269" s="33">
        <f t="shared" ref="G269:T269" si="89">G25+G41-G180</f>
        <v>0</v>
      </c>
      <c r="H269" s="33">
        <f t="shared" si="89"/>
        <v>0</v>
      </c>
      <c r="I269" s="33">
        <f t="shared" si="89"/>
        <v>0</v>
      </c>
      <c r="J269" s="33">
        <f t="shared" si="89"/>
        <v>0</v>
      </c>
      <c r="K269" s="33">
        <f t="shared" si="89"/>
        <v>0</v>
      </c>
      <c r="L269" s="33">
        <f t="shared" si="89"/>
        <v>0</v>
      </c>
      <c r="M269" s="33">
        <f t="shared" si="89"/>
        <v>0</v>
      </c>
      <c r="N269" s="33">
        <f t="shared" si="89"/>
        <v>0</v>
      </c>
      <c r="O269" s="33">
        <f t="shared" si="89"/>
        <v>0</v>
      </c>
      <c r="P269" s="33">
        <f t="shared" si="89"/>
        <v>0</v>
      </c>
      <c r="Q269" s="33">
        <f t="shared" si="89"/>
        <v>0</v>
      </c>
      <c r="R269" s="33">
        <f t="shared" si="89"/>
        <v>0</v>
      </c>
      <c r="S269" s="33">
        <f t="shared" si="89"/>
        <v>0</v>
      </c>
      <c r="T269" s="33">
        <f t="shared" si="89"/>
        <v>0</v>
      </c>
    </row>
    <row r="270" spans="1:20" s="18" customFormat="1" ht="17.25" x14ac:dyDescent="0.25">
      <c r="A270" s="47">
        <v>3</v>
      </c>
      <c r="B270" s="62" t="s">
        <v>37</v>
      </c>
      <c r="C270" s="49"/>
      <c r="D270" s="34">
        <v>0</v>
      </c>
      <c r="E270" s="34">
        <v>0</v>
      </c>
      <c r="F270" s="34"/>
      <c r="G270" s="34">
        <v>0</v>
      </c>
      <c r="H270" s="34">
        <v>0</v>
      </c>
      <c r="I270" s="34">
        <v>0</v>
      </c>
      <c r="J270" s="34">
        <v>0</v>
      </c>
      <c r="K270" s="34">
        <v>0</v>
      </c>
      <c r="L270" s="34">
        <v>0</v>
      </c>
      <c r="M270" s="34">
        <v>0</v>
      </c>
      <c r="N270" s="34">
        <v>0</v>
      </c>
      <c r="O270" s="34">
        <v>0</v>
      </c>
      <c r="P270" s="34">
        <v>0</v>
      </c>
      <c r="Q270" s="34">
        <v>0</v>
      </c>
      <c r="R270" s="34">
        <v>0</v>
      </c>
      <c r="S270" s="34">
        <v>0</v>
      </c>
      <c r="T270" s="34">
        <v>0</v>
      </c>
    </row>
    <row r="271" spans="1:20" s="18" customFormat="1" ht="17.25" x14ac:dyDescent="0.25">
      <c r="A271" s="47">
        <v>4</v>
      </c>
      <c r="B271" s="62" t="s">
        <v>38</v>
      </c>
      <c r="C271" s="49"/>
      <c r="D271" s="34">
        <f t="shared" ref="D271:E271" si="90">D27+D43-D187</f>
        <v>0</v>
      </c>
      <c r="E271" s="34">
        <f t="shared" si="90"/>
        <v>20904422.850000009</v>
      </c>
      <c r="F271" s="34"/>
      <c r="G271" s="34">
        <f t="shared" ref="G271:T271" si="91">G27+G43-G187</f>
        <v>0</v>
      </c>
      <c r="H271" s="34">
        <f t="shared" si="91"/>
        <v>0</v>
      </c>
      <c r="I271" s="34">
        <f t="shared" si="91"/>
        <v>0</v>
      </c>
      <c r="J271" s="34">
        <f t="shared" si="91"/>
        <v>0</v>
      </c>
      <c r="K271" s="34">
        <f t="shared" si="91"/>
        <v>0</v>
      </c>
      <c r="L271" s="34">
        <f t="shared" si="91"/>
        <v>0</v>
      </c>
      <c r="M271" s="34">
        <f t="shared" si="91"/>
        <v>0</v>
      </c>
      <c r="N271" s="34">
        <f t="shared" si="91"/>
        <v>0</v>
      </c>
      <c r="O271" s="34">
        <f t="shared" si="91"/>
        <v>0</v>
      </c>
      <c r="P271" s="34">
        <f t="shared" si="91"/>
        <v>0</v>
      </c>
      <c r="Q271" s="34">
        <f t="shared" si="91"/>
        <v>0</v>
      </c>
      <c r="R271" s="34">
        <f t="shared" si="91"/>
        <v>0</v>
      </c>
      <c r="S271" s="34">
        <f t="shared" si="91"/>
        <v>0</v>
      </c>
      <c r="T271" s="34">
        <f t="shared" si="91"/>
        <v>20904422.850000009</v>
      </c>
    </row>
    <row r="272" spans="1:20" s="18" customFormat="1" ht="17.25" x14ac:dyDescent="0.25">
      <c r="A272" s="47">
        <v>5</v>
      </c>
      <c r="B272" s="62" t="s">
        <v>39</v>
      </c>
      <c r="C272" s="49"/>
      <c r="D272" s="34">
        <f t="shared" ref="D272:E272" si="92">D28+D44-D206</f>
        <v>0</v>
      </c>
      <c r="E272" s="34">
        <f t="shared" si="92"/>
        <v>1260361.9999999998</v>
      </c>
      <c r="F272" s="34"/>
      <c r="G272" s="34">
        <f t="shared" ref="G272:T272" si="93">G28+G44-G206</f>
        <v>0</v>
      </c>
      <c r="H272" s="34">
        <f t="shared" si="93"/>
        <v>0</v>
      </c>
      <c r="I272" s="34">
        <f t="shared" si="93"/>
        <v>0</v>
      </c>
      <c r="J272" s="34">
        <f t="shared" si="93"/>
        <v>0</v>
      </c>
      <c r="K272" s="34">
        <f t="shared" si="93"/>
        <v>0</v>
      </c>
      <c r="L272" s="34">
        <f t="shared" si="93"/>
        <v>0</v>
      </c>
      <c r="M272" s="34">
        <f t="shared" si="93"/>
        <v>0</v>
      </c>
      <c r="N272" s="34">
        <f t="shared" si="93"/>
        <v>0</v>
      </c>
      <c r="O272" s="34">
        <f t="shared" si="93"/>
        <v>0</v>
      </c>
      <c r="P272" s="34">
        <f t="shared" si="93"/>
        <v>0</v>
      </c>
      <c r="Q272" s="34">
        <f t="shared" si="93"/>
        <v>0</v>
      </c>
      <c r="R272" s="34">
        <f t="shared" si="93"/>
        <v>0</v>
      </c>
      <c r="S272" s="34">
        <f t="shared" si="93"/>
        <v>0</v>
      </c>
      <c r="T272" s="34">
        <f t="shared" si="93"/>
        <v>1260361.9999999998</v>
      </c>
    </row>
    <row r="273" spans="1:20" s="18" customFormat="1" ht="17.25" x14ac:dyDescent="0.25">
      <c r="A273" s="47">
        <v>6</v>
      </c>
      <c r="B273" s="62" t="s">
        <v>40</v>
      </c>
      <c r="C273" s="49"/>
      <c r="D273" s="34">
        <f t="shared" ref="D273:E273" si="94">D29+D45-D223</f>
        <v>0</v>
      </c>
      <c r="E273" s="34">
        <f t="shared" si="94"/>
        <v>638564.31000000017</v>
      </c>
      <c r="F273" s="34"/>
      <c r="G273" s="34">
        <f t="shared" ref="G273:T273" si="95">G29+G45-G223</f>
        <v>0</v>
      </c>
      <c r="H273" s="34">
        <f t="shared" si="95"/>
        <v>0</v>
      </c>
      <c r="I273" s="34">
        <f t="shared" si="95"/>
        <v>0</v>
      </c>
      <c r="J273" s="34">
        <f t="shared" si="95"/>
        <v>0</v>
      </c>
      <c r="K273" s="34">
        <f t="shared" si="95"/>
        <v>0</v>
      </c>
      <c r="L273" s="34">
        <f t="shared" si="95"/>
        <v>0</v>
      </c>
      <c r="M273" s="34">
        <f t="shared" si="95"/>
        <v>0</v>
      </c>
      <c r="N273" s="34">
        <f t="shared" si="95"/>
        <v>0</v>
      </c>
      <c r="O273" s="34">
        <f t="shared" si="95"/>
        <v>0</v>
      </c>
      <c r="P273" s="34">
        <f t="shared" si="95"/>
        <v>0</v>
      </c>
      <c r="Q273" s="34">
        <f t="shared" si="95"/>
        <v>0</v>
      </c>
      <c r="R273" s="34">
        <f t="shared" si="95"/>
        <v>0</v>
      </c>
      <c r="S273" s="34">
        <f t="shared" si="95"/>
        <v>0</v>
      </c>
      <c r="T273" s="34">
        <f t="shared" si="95"/>
        <v>638564.31000000017</v>
      </c>
    </row>
    <row r="274" spans="1:20" s="18" customFormat="1" ht="17.25" x14ac:dyDescent="0.25">
      <c r="A274" s="47">
        <v>7</v>
      </c>
      <c r="B274" s="62" t="s">
        <v>41</v>
      </c>
      <c r="C274" s="49"/>
      <c r="D274" s="34">
        <f t="shared" ref="D274:E274" si="96">D30+D46-D241</f>
        <v>0</v>
      </c>
      <c r="E274" s="34">
        <f t="shared" si="96"/>
        <v>4555019.2400000012</v>
      </c>
      <c r="F274" s="34"/>
      <c r="G274" s="34">
        <f t="shared" ref="G274:T274" si="97">G30+G46-G241</f>
        <v>0</v>
      </c>
      <c r="H274" s="34">
        <f t="shared" si="97"/>
        <v>0</v>
      </c>
      <c r="I274" s="34">
        <f t="shared" si="97"/>
        <v>0</v>
      </c>
      <c r="J274" s="34">
        <f t="shared" si="97"/>
        <v>0</v>
      </c>
      <c r="K274" s="34">
        <f t="shared" si="97"/>
        <v>0</v>
      </c>
      <c r="L274" s="34">
        <f t="shared" si="97"/>
        <v>0</v>
      </c>
      <c r="M274" s="34">
        <f t="shared" si="97"/>
        <v>0</v>
      </c>
      <c r="N274" s="34">
        <f t="shared" si="97"/>
        <v>0</v>
      </c>
      <c r="O274" s="34">
        <f t="shared" si="97"/>
        <v>0</v>
      </c>
      <c r="P274" s="34">
        <f t="shared" si="97"/>
        <v>0</v>
      </c>
      <c r="Q274" s="34">
        <f t="shared" si="97"/>
        <v>0</v>
      </c>
      <c r="R274" s="34">
        <f t="shared" si="97"/>
        <v>0</v>
      </c>
      <c r="S274" s="34">
        <f t="shared" si="97"/>
        <v>0</v>
      </c>
      <c r="T274" s="34">
        <f t="shared" si="97"/>
        <v>4555019.2400000012</v>
      </c>
    </row>
  </sheetData>
  <mergeCells count="23">
    <mergeCell ref="O13:P13"/>
    <mergeCell ref="Q13:R13"/>
    <mergeCell ref="A15:B15"/>
    <mergeCell ref="M1:U1"/>
    <mergeCell ref="M2:U2"/>
    <mergeCell ref="M3:U3"/>
    <mergeCell ref="A7:T7"/>
    <mergeCell ref="A31:B31"/>
    <mergeCell ref="A47:B47"/>
    <mergeCell ref="A8:T8"/>
    <mergeCell ref="A259:B259"/>
    <mergeCell ref="A9:S9"/>
    <mergeCell ref="A11:A14"/>
    <mergeCell ref="B11:B14"/>
    <mergeCell ref="C11:C14"/>
    <mergeCell ref="D11:E13"/>
    <mergeCell ref="G11:T11"/>
    <mergeCell ref="G12:H13"/>
    <mergeCell ref="I12:R12"/>
    <mergeCell ref="S12:T13"/>
    <mergeCell ref="I13:J13"/>
    <mergeCell ref="K13:L13"/>
    <mergeCell ref="M13:N13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4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Q275"/>
  <sheetViews>
    <sheetView view="pageBreakPreview" topLeftCell="A5" zoomScale="70" zoomScaleNormal="80" zoomScaleSheetLayoutView="70" workbookViewId="0">
      <pane xSplit="5" ySplit="10" topLeftCell="F258" activePane="bottomRight" state="frozen"/>
      <selection activeCell="A5" sqref="A5"/>
      <selection pane="topRight" activeCell="F5" sqref="F5"/>
      <selection pane="bottomLeft" activeCell="A15" sqref="A15"/>
      <selection pane="bottomRight" activeCell="F267" sqref="F267"/>
    </sheetView>
  </sheetViews>
  <sheetFormatPr defaultRowHeight="15" x14ac:dyDescent="0.25"/>
  <cols>
    <col min="1" max="1" width="9" customWidth="1"/>
    <col min="2" max="2" width="62.85546875" customWidth="1"/>
    <col min="3" max="3" width="9.85546875" customWidth="1"/>
    <col min="4" max="4" width="19.7109375" bestFit="1" customWidth="1"/>
    <col min="5" max="5" width="17.7109375" bestFit="1" customWidth="1"/>
    <col min="6" max="6" width="17.7109375" customWidth="1"/>
    <col min="7" max="7" width="17.7109375" bestFit="1" customWidth="1"/>
    <col min="8" max="8" width="20.28515625" customWidth="1"/>
    <col min="9" max="9" width="19.7109375" bestFit="1" customWidth="1"/>
    <col min="10" max="10" width="16.85546875" bestFit="1" customWidth="1"/>
    <col min="11" max="11" width="15.28515625" bestFit="1" customWidth="1"/>
    <col min="12" max="12" width="14.42578125" bestFit="1" customWidth="1"/>
    <col min="13" max="13" width="15.28515625" bestFit="1" customWidth="1"/>
    <col min="14" max="14" width="14.42578125" bestFit="1" customWidth="1"/>
    <col min="15" max="15" width="16.42578125" customWidth="1"/>
    <col min="16" max="16" width="14.42578125" bestFit="1" customWidth="1"/>
    <col min="17" max="17" width="10.85546875" customWidth="1"/>
    <col min="18" max="18" width="12.28515625" bestFit="1" customWidth="1"/>
    <col min="19" max="19" width="17.140625" customWidth="1"/>
    <col min="20" max="20" width="18" customWidth="1"/>
  </cols>
  <sheetData>
    <row r="1" spans="1:28" s="6" customFormat="1" ht="33" hidden="1" x14ac:dyDescent="0.25">
      <c r="A1" s="1"/>
      <c r="B1" s="2"/>
      <c r="C1" s="3"/>
      <c r="D1" s="3"/>
      <c r="E1" s="3"/>
      <c r="F1" s="3"/>
      <c r="G1" s="4"/>
      <c r="H1" s="4"/>
      <c r="I1" s="5"/>
      <c r="J1" s="5"/>
      <c r="K1" s="5"/>
      <c r="L1" s="5"/>
      <c r="M1" s="170" t="s">
        <v>0</v>
      </c>
      <c r="N1" s="170"/>
      <c r="O1" s="170"/>
      <c r="P1" s="170"/>
      <c r="Q1" s="170"/>
      <c r="R1" s="170"/>
      <c r="S1" s="170"/>
      <c r="T1" s="170"/>
      <c r="U1" s="170"/>
    </row>
    <row r="2" spans="1:28" s="6" customFormat="1" ht="33" hidden="1" x14ac:dyDescent="0.25">
      <c r="A2" s="1"/>
      <c r="B2" s="2"/>
      <c r="C2" s="3"/>
      <c r="D2" s="3"/>
      <c r="E2" s="3"/>
      <c r="F2" s="3"/>
      <c r="G2" s="3"/>
      <c r="H2" s="3"/>
      <c r="I2" s="5"/>
      <c r="J2" s="5"/>
      <c r="K2" s="5"/>
      <c r="L2" s="5"/>
      <c r="M2" s="170" t="s">
        <v>1</v>
      </c>
      <c r="N2" s="170"/>
      <c r="O2" s="170"/>
      <c r="P2" s="170"/>
      <c r="Q2" s="170"/>
      <c r="R2" s="170"/>
      <c r="S2" s="170"/>
      <c r="T2" s="170"/>
      <c r="U2" s="170"/>
    </row>
    <row r="3" spans="1:28" s="6" customFormat="1" ht="33" hidden="1" x14ac:dyDescent="0.25">
      <c r="A3" s="1"/>
      <c r="B3" s="2"/>
      <c r="C3" s="3"/>
      <c r="D3" s="3"/>
      <c r="E3" s="3"/>
      <c r="F3" s="3"/>
      <c r="G3" s="3"/>
      <c r="H3" s="3"/>
      <c r="I3" s="5"/>
      <c r="J3" s="5"/>
      <c r="K3" s="5"/>
      <c r="L3" s="5"/>
      <c r="M3" s="170" t="s">
        <v>2</v>
      </c>
      <c r="N3" s="170"/>
      <c r="O3" s="170"/>
      <c r="P3" s="170"/>
      <c r="Q3" s="170"/>
      <c r="R3" s="170"/>
      <c r="S3" s="170"/>
      <c r="T3" s="170"/>
      <c r="U3" s="170"/>
    </row>
    <row r="4" spans="1:28" s="6" customFormat="1" ht="33" hidden="1" x14ac:dyDescent="0.25">
      <c r="A4" s="1"/>
      <c r="B4" s="2"/>
      <c r="C4" s="3"/>
      <c r="D4" s="3"/>
      <c r="E4" s="3"/>
      <c r="F4" s="3"/>
      <c r="G4" s="4"/>
      <c r="H4" s="4"/>
      <c r="I4" s="7"/>
      <c r="J4" s="7"/>
      <c r="K4" s="7"/>
      <c r="L4" s="7"/>
      <c r="M4" s="8"/>
      <c r="N4" s="8"/>
      <c r="O4" s="8"/>
      <c r="P4" s="8"/>
      <c r="Q4" s="8"/>
      <c r="R4" s="8"/>
      <c r="S4" s="8"/>
      <c r="T4" s="8"/>
    </row>
    <row r="5" spans="1:28" s="6" customFormat="1" ht="16.5" x14ac:dyDescent="0.25">
      <c r="A5" s="9"/>
      <c r="B5" s="10"/>
      <c r="C5" s="11"/>
    </row>
    <row r="6" spans="1:28" s="6" customFormat="1" ht="30.75" customHeight="1" x14ac:dyDescent="0.25">
      <c r="A6" s="9"/>
      <c r="B6" s="10"/>
      <c r="C6" s="11"/>
    </row>
    <row r="7" spans="1:28" s="6" customFormat="1" ht="111.75" customHeight="1" x14ac:dyDescent="0.25">
      <c r="A7" s="171" t="s">
        <v>303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</row>
    <row r="8" spans="1:28" s="6" customFormat="1" ht="47.25" customHeight="1" x14ac:dyDescent="0.25">
      <c r="A8" s="172" t="s">
        <v>277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2"/>
      <c r="V8" s="12"/>
      <c r="W8" s="12"/>
      <c r="X8" s="12"/>
      <c r="Y8" s="12"/>
      <c r="Z8" s="12"/>
      <c r="AA8" s="12"/>
      <c r="AB8" s="12"/>
    </row>
    <row r="9" spans="1:28" s="6" customFormat="1" ht="34.5" customHeight="1" x14ac:dyDescent="0.5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</row>
    <row r="10" spans="1:28" s="6" customFormat="1" ht="19.5" hidden="1" thickBot="1" x14ac:dyDescent="0.35">
      <c r="A10" s="9"/>
      <c r="B10" s="10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28" s="15" customFormat="1" ht="16.5" customHeight="1" x14ac:dyDescent="0.25">
      <c r="A11" s="158" t="s">
        <v>4</v>
      </c>
      <c r="B11" s="159" t="s">
        <v>5</v>
      </c>
      <c r="C11" s="158" t="s">
        <v>6</v>
      </c>
      <c r="D11" s="166" t="s">
        <v>7</v>
      </c>
      <c r="E11" s="166"/>
      <c r="F11" s="87"/>
      <c r="G11" s="166" t="s">
        <v>8</v>
      </c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</row>
    <row r="12" spans="1:28" s="16" customFormat="1" ht="15.75" customHeight="1" x14ac:dyDescent="0.25">
      <c r="A12" s="158"/>
      <c r="B12" s="159"/>
      <c r="C12" s="158"/>
      <c r="D12" s="166"/>
      <c r="E12" s="166"/>
      <c r="F12" s="87"/>
      <c r="G12" s="165" t="s">
        <v>9</v>
      </c>
      <c r="H12" s="165"/>
      <c r="I12" s="158" t="s">
        <v>10</v>
      </c>
      <c r="J12" s="158"/>
      <c r="K12" s="158"/>
      <c r="L12" s="158"/>
      <c r="M12" s="158"/>
      <c r="N12" s="158"/>
      <c r="O12" s="158"/>
      <c r="P12" s="158"/>
      <c r="Q12" s="158"/>
      <c r="R12" s="158"/>
      <c r="S12" s="165" t="s">
        <v>11</v>
      </c>
      <c r="T12" s="165"/>
    </row>
    <row r="13" spans="1:28" s="17" customFormat="1" ht="63.75" customHeight="1" x14ac:dyDescent="0.25">
      <c r="A13" s="158"/>
      <c r="B13" s="159"/>
      <c r="C13" s="158"/>
      <c r="D13" s="166"/>
      <c r="E13" s="166"/>
      <c r="F13" s="87"/>
      <c r="G13" s="165"/>
      <c r="H13" s="165"/>
      <c r="I13" s="158" t="s">
        <v>12</v>
      </c>
      <c r="J13" s="158"/>
      <c r="K13" s="158" t="s">
        <v>13</v>
      </c>
      <c r="L13" s="158"/>
      <c r="M13" s="158" t="s">
        <v>14</v>
      </c>
      <c r="N13" s="158"/>
      <c r="O13" s="158" t="s">
        <v>15</v>
      </c>
      <c r="P13" s="158"/>
      <c r="Q13" s="158" t="s">
        <v>278</v>
      </c>
      <c r="R13" s="158"/>
      <c r="S13" s="165"/>
      <c r="T13" s="165"/>
    </row>
    <row r="14" spans="1:28" s="17" customFormat="1" ht="35.25" customHeight="1" x14ac:dyDescent="0.25">
      <c r="A14" s="158"/>
      <c r="B14" s="159"/>
      <c r="C14" s="158"/>
      <c r="D14" s="44" t="s">
        <v>295</v>
      </c>
      <c r="E14" s="44" t="s">
        <v>296</v>
      </c>
      <c r="F14" s="87"/>
      <c r="G14" s="45" t="s">
        <v>295</v>
      </c>
      <c r="H14" s="45" t="s">
        <v>296</v>
      </c>
      <c r="I14" s="45" t="s">
        <v>295</v>
      </c>
      <c r="J14" s="45" t="s">
        <v>296</v>
      </c>
      <c r="K14" s="45" t="s">
        <v>295</v>
      </c>
      <c r="L14" s="45" t="s">
        <v>296</v>
      </c>
      <c r="M14" s="45" t="s">
        <v>295</v>
      </c>
      <c r="N14" s="45" t="s">
        <v>296</v>
      </c>
      <c r="O14" s="45" t="s">
        <v>295</v>
      </c>
      <c r="P14" s="45" t="s">
        <v>296</v>
      </c>
      <c r="Q14" s="45" t="s">
        <v>295</v>
      </c>
      <c r="R14" s="45" t="s">
        <v>296</v>
      </c>
      <c r="S14" s="45" t="s">
        <v>295</v>
      </c>
      <c r="T14" s="45" t="s">
        <v>296</v>
      </c>
    </row>
    <row r="15" spans="1:28" s="18" customFormat="1" ht="29.25" customHeight="1" x14ac:dyDescent="0.25">
      <c r="A15" s="168" t="s">
        <v>16</v>
      </c>
      <c r="B15" s="168"/>
      <c r="C15" s="46"/>
      <c r="D15" s="34">
        <f>SUM(D16+D20+D26+D27+D28+D29+D30)</f>
        <v>9791112.2799999993</v>
      </c>
      <c r="E15" s="34">
        <f t="shared" ref="E15:T15" si="0">SUM(E16+E20+E26+E27+E28+E29+E30)</f>
        <v>9791112.2799999993</v>
      </c>
      <c r="F15" s="34"/>
      <c r="G15" s="34">
        <f t="shared" si="0"/>
        <v>0</v>
      </c>
      <c r="H15" s="34">
        <f t="shared" si="0"/>
        <v>0</v>
      </c>
      <c r="I15" s="34">
        <f t="shared" si="0"/>
        <v>0</v>
      </c>
      <c r="J15" s="34">
        <f t="shared" si="0"/>
        <v>0</v>
      </c>
      <c r="K15" s="34">
        <f t="shared" si="0"/>
        <v>0</v>
      </c>
      <c r="L15" s="34">
        <f t="shared" si="0"/>
        <v>0</v>
      </c>
      <c r="M15" s="34">
        <f t="shared" si="0"/>
        <v>0</v>
      </c>
      <c r="N15" s="34">
        <f t="shared" si="0"/>
        <v>0</v>
      </c>
      <c r="O15" s="34">
        <f t="shared" si="0"/>
        <v>0</v>
      </c>
      <c r="P15" s="34">
        <f t="shared" si="0"/>
        <v>0</v>
      </c>
      <c r="Q15" s="34">
        <f t="shared" si="0"/>
        <v>245.78</v>
      </c>
      <c r="R15" s="34">
        <f t="shared" si="0"/>
        <v>245.78</v>
      </c>
      <c r="S15" s="34">
        <f t="shared" si="0"/>
        <v>9790866.5</v>
      </c>
      <c r="T15" s="34">
        <f t="shared" si="0"/>
        <v>9790866.5</v>
      </c>
    </row>
    <row r="16" spans="1:28" s="18" customFormat="1" ht="34.5" x14ac:dyDescent="0.25">
      <c r="A16" s="47" t="s">
        <v>17</v>
      </c>
      <c r="B16" s="48" t="s">
        <v>18</v>
      </c>
      <c r="C16" s="49"/>
      <c r="D16" s="34">
        <f>SUM(G16:S16)</f>
        <v>0</v>
      </c>
      <c r="E16" s="34">
        <f>SUM(H16:T16)</f>
        <v>0</v>
      </c>
      <c r="F16" s="34"/>
      <c r="G16" s="34">
        <f t="shared" ref="G16:U16" si="1">SUM(I16:U16)</f>
        <v>0</v>
      </c>
      <c r="H16" s="34">
        <f t="shared" si="1"/>
        <v>0</v>
      </c>
      <c r="I16" s="34">
        <f t="shared" si="1"/>
        <v>0</v>
      </c>
      <c r="J16" s="34">
        <f t="shared" si="1"/>
        <v>0</v>
      </c>
      <c r="K16" s="34">
        <f t="shared" si="1"/>
        <v>0</v>
      </c>
      <c r="L16" s="34">
        <f t="shared" si="1"/>
        <v>0</v>
      </c>
      <c r="M16" s="34">
        <f t="shared" si="1"/>
        <v>0</v>
      </c>
      <c r="N16" s="34">
        <f t="shared" si="1"/>
        <v>0</v>
      </c>
      <c r="O16" s="34">
        <f t="shared" si="1"/>
        <v>0</v>
      </c>
      <c r="P16" s="34">
        <f t="shared" si="1"/>
        <v>0</v>
      </c>
      <c r="Q16" s="34">
        <f t="shared" si="1"/>
        <v>0</v>
      </c>
      <c r="R16" s="34">
        <f t="shared" si="1"/>
        <v>0</v>
      </c>
      <c r="S16" s="34">
        <f t="shared" si="1"/>
        <v>0</v>
      </c>
      <c r="T16" s="34">
        <f t="shared" si="1"/>
        <v>0</v>
      </c>
      <c r="U16" s="34">
        <f t="shared" si="1"/>
        <v>0</v>
      </c>
    </row>
    <row r="17" spans="1:20" s="6" customFormat="1" ht="16.5" x14ac:dyDescent="0.25">
      <c r="A17" s="50" t="s">
        <v>19</v>
      </c>
      <c r="B17" s="28" t="s">
        <v>20</v>
      </c>
      <c r="C17" s="51"/>
      <c r="D17" s="33">
        <f>SUM(G17+I17+K17+M17+O17+Q17+S17)</f>
        <v>0</v>
      </c>
      <c r="E17" s="33">
        <f>SUM(H17+J17+L17+N17+P17+R17+T17)</f>
        <v>0</v>
      </c>
      <c r="F17" s="33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1:20" s="6" customFormat="1" ht="16.5" x14ac:dyDescent="0.25">
      <c r="A18" s="50" t="s">
        <v>21</v>
      </c>
      <c r="B18" s="28" t="s">
        <v>22</v>
      </c>
      <c r="C18" s="51"/>
      <c r="D18" s="33">
        <f t="shared" ref="D18:D81" si="2">SUM(G18+I18+K18+M18+O18+Q18+S18)</f>
        <v>0</v>
      </c>
      <c r="E18" s="33">
        <f t="shared" ref="E18:E81" si="3">SUM(H18+J18+L18+N18+P18+R18+T18)</f>
        <v>0</v>
      </c>
      <c r="F18" s="33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s="6" customFormat="1" ht="16.5" x14ac:dyDescent="0.25">
      <c r="A19" s="52" t="s">
        <v>23</v>
      </c>
      <c r="B19" s="28" t="s">
        <v>24</v>
      </c>
      <c r="C19" s="51"/>
      <c r="D19" s="33">
        <f t="shared" si="2"/>
        <v>0</v>
      </c>
      <c r="E19" s="33">
        <f t="shared" si="3"/>
        <v>0</v>
      </c>
      <c r="F19" s="33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s="20" customFormat="1" ht="17.25" x14ac:dyDescent="0.25">
      <c r="A20" s="53" t="s">
        <v>25</v>
      </c>
      <c r="B20" s="48" t="s">
        <v>26</v>
      </c>
      <c r="C20" s="54"/>
      <c r="D20" s="34">
        <f t="shared" ref="D20:Q20" si="4">SUM(D21)</f>
        <v>245.78</v>
      </c>
      <c r="E20" s="34">
        <f t="shared" si="4"/>
        <v>245.78</v>
      </c>
      <c r="F20" s="34">
        <f t="shared" si="4"/>
        <v>0</v>
      </c>
      <c r="G20" s="34">
        <f t="shared" si="4"/>
        <v>0</v>
      </c>
      <c r="H20" s="34">
        <f t="shared" si="4"/>
        <v>0</v>
      </c>
      <c r="I20" s="34">
        <f t="shared" si="4"/>
        <v>0</v>
      </c>
      <c r="J20" s="34">
        <f t="shared" si="4"/>
        <v>0</v>
      </c>
      <c r="K20" s="34">
        <f t="shared" si="4"/>
        <v>0</v>
      </c>
      <c r="L20" s="34">
        <f t="shared" si="4"/>
        <v>0</v>
      </c>
      <c r="M20" s="34">
        <f t="shared" si="4"/>
        <v>0</v>
      </c>
      <c r="N20" s="34">
        <f t="shared" si="4"/>
        <v>0</v>
      </c>
      <c r="O20" s="34">
        <f t="shared" si="4"/>
        <v>0</v>
      </c>
      <c r="P20" s="34">
        <f t="shared" si="4"/>
        <v>0</v>
      </c>
      <c r="Q20" s="34">
        <f t="shared" si="4"/>
        <v>245.78</v>
      </c>
      <c r="R20" s="34">
        <f>SUM(R21)</f>
        <v>245.78</v>
      </c>
      <c r="S20" s="34">
        <f t="shared" ref="S20" si="5">SUM(U20:AG20)</f>
        <v>0</v>
      </c>
      <c r="T20" s="34">
        <f t="shared" ref="T20" si="6">SUM(V20:AH20)</f>
        <v>0</v>
      </c>
    </row>
    <row r="21" spans="1:20" s="22" customFormat="1" ht="49.5" x14ac:dyDescent="0.25">
      <c r="A21" s="50" t="s">
        <v>27</v>
      </c>
      <c r="B21" s="28" t="s">
        <v>28</v>
      </c>
      <c r="C21" s="55"/>
      <c r="D21" s="33">
        <f t="shared" si="2"/>
        <v>245.78</v>
      </c>
      <c r="E21" s="33">
        <f t="shared" si="3"/>
        <v>245.78</v>
      </c>
      <c r="F21" s="33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38">
        <v>245.78</v>
      </c>
      <c r="R21" s="38">
        <v>245.78</v>
      </c>
      <c r="S21" s="21"/>
      <c r="T21" s="21"/>
    </row>
    <row r="22" spans="1:20" s="22" customFormat="1" ht="33" hidden="1" x14ac:dyDescent="0.25">
      <c r="A22" s="50" t="s">
        <v>29</v>
      </c>
      <c r="B22" s="28" t="s">
        <v>30</v>
      </c>
      <c r="C22" s="55"/>
      <c r="D22" s="33">
        <f t="shared" si="2"/>
        <v>0</v>
      </c>
      <c r="E22" s="33">
        <f t="shared" si="3"/>
        <v>0</v>
      </c>
      <c r="F22" s="3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20" s="22" customFormat="1" ht="48" hidden="1" x14ac:dyDescent="0.25">
      <c r="A23" s="50" t="s">
        <v>31</v>
      </c>
      <c r="B23" s="28" t="s">
        <v>32</v>
      </c>
      <c r="C23" s="55"/>
      <c r="D23" s="33">
        <f t="shared" si="2"/>
        <v>0</v>
      </c>
      <c r="E23" s="33">
        <f t="shared" si="3"/>
        <v>0</v>
      </c>
      <c r="F23" s="33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1:20" s="22" customFormat="1" ht="33" hidden="1" x14ac:dyDescent="0.25">
      <c r="A24" s="50" t="s">
        <v>33</v>
      </c>
      <c r="B24" s="28" t="s">
        <v>34</v>
      </c>
      <c r="C24" s="55"/>
      <c r="D24" s="33">
        <f t="shared" si="2"/>
        <v>0</v>
      </c>
      <c r="E24" s="33">
        <f t="shared" si="3"/>
        <v>0</v>
      </c>
      <c r="F24" s="33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 spans="1:20" s="22" customFormat="1" ht="49.5" hidden="1" x14ac:dyDescent="0.25">
      <c r="A25" s="50" t="s">
        <v>35</v>
      </c>
      <c r="B25" s="28" t="s">
        <v>36</v>
      </c>
      <c r="C25" s="55"/>
      <c r="D25" s="33">
        <f t="shared" si="2"/>
        <v>0</v>
      </c>
      <c r="E25" s="33">
        <f t="shared" si="3"/>
        <v>0</v>
      </c>
      <c r="F25" s="33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1:20" s="24" customFormat="1" ht="17.25" x14ac:dyDescent="0.25">
      <c r="A26" s="56">
        <v>3</v>
      </c>
      <c r="B26" s="48" t="s">
        <v>37</v>
      </c>
      <c r="C26" s="54"/>
      <c r="D26" s="33">
        <f t="shared" si="2"/>
        <v>0</v>
      </c>
      <c r="E26" s="33">
        <f t="shared" si="3"/>
        <v>0</v>
      </c>
      <c r="F26" s="3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0" s="20" customFormat="1" ht="17.25" x14ac:dyDescent="0.25">
      <c r="A27" s="53">
        <v>4</v>
      </c>
      <c r="B27" s="48" t="s">
        <v>38</v>
      </c>
      <c r="C27" s="54"/>
      <c r="D27" s="33">
        <f t="shared" si="2"/>
        <v>6861788.5499999998</v>
      </c>
      <c r="E27" s="33">
        <f t="shared" si="3"/>
        <v>6861788.5499999998</v>
      </c>
      <c r="F27" s="33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>
        <v>6861788.5499999998</v>
      </c>
      <c r="T27" s="25">
        <v>6861788.5499999998</v>
      </c>
    </row>
    <row r="28" spans="1:20" s="20" customFormat="1" ht="17.25" x14ac:dyDescent="0.25">
      <c r="A28" s="53">
        <v>5</v>
      </c>
      <c r="B28" s="48" t="s">
        <v>39</v>
      </c>
      <c r="C28" s="54"/>
      <c r="D28" s="33">
        <f t="shared" si="2"/>
        <v>805899.59</v>
      </c>
      <c r="E28" s="33">
        <f t="shared" si="3"/>
        <v>805899.59</v>
      </c>
      <c r="F28" s="33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>
        <v>805899.59</v>
      </c>
      <c r="T28" s="25">
        <v>805899.59</v>
      </c>
    </row>
    <row r="29" spans="1:20" s="20" customFormat="1" ht="17.25" x14ac:dyDescent="0.25">
      <c r="A29" s="53">
        <v>6</v>
      </c>
      <c r="B29" s="48" t="s">
        <v>40</v>
      </c>
      <c r="C29" s="54"/>
      <c r="D29" s="33">
        <f t="shared" si="2"/>
        <v>274733.75</v>
      </c>
      <c r="E29" s="33">
        <f t="shared" si="3"/>
        <v>274733.75</v>
      </c>
      <c r="F29" s="33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>
        <v>274733.75</v>
      </c>
      <c r="T29" s="25">
        <v>274733.75</v>
      </c>
    </row>
    <row r="30" spans="1:20" s="20" customFormat="1" ht="17.25" x14ac:dyDescent="0.25">
      <c r="A30" s="53">
        <v>7</v>
      </c>
      <c r="B30" s="48" t="s">
        <v>41</v>
      </c>
      <c r="C30" s="54"/>
      <c r="D30" s="33">
        <f t="shared" si="2"/>
        <v>1848444.61</v>
      </c>
      <c r="E30" s="33">
        <f t="shared" si="3"/>
        <v>1848444.61</v>
      </c>
      <c r="F30" s="33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>
        <v>1848444.61</v>
      </c>
      <c r="T30" s="25">
        <v>1848444.61</v>
      </c>
    </row>
    <row r="31" spans="1:20" s="20" customFormat="1" ht="25.5" customHeight="1" x14ac:dyDescent="0.25">
      <c r="A31" s="163" t="s">
        <v>42</v>
      </c>
      <c r="B31" s="163"/>
      <c r="C31" s="57"/>
      <c r="D31" s="25">
        <f t="shared" ref="D31:E31" si="7">SUM(D32+D36+D42+D43+D44+D45+D46)</f>
        <v>2060248646.3199999</v>
      </c>
      <c r="E31" s="25">
        <f t="shared" si="7"/>
        <v>671027473.61000001</v>
      </c>
      <c r="F31" s="25"/>
      <c r="G31" s="25">
        <f t="shared" ref="G31" si="8">SUM(G32+G36+G42+G43+G44+G45+G46)</f>
        <v>319257524.49000001</v>
      </c>
      <c r="H31" s="25">
        <f t="shared" ref="H31:T31" si="9">SUM(H32+H36+H42+H43+H44+H45+H46)</f>
        <v>118420405</v>
      </c>
      <c r="I31" s="25">
        <f t="shared" si="9"/>
        <v>1648959250.3399999</v>
      </c>
      <c r="J31" s="25">
        <f t="shared" si="9"/>
        <v>518426200</v>
      </c>
      <c r="K31" s="25">
        <f t="shared" si="9"/>
        <v>3888988</v>
      </c>
      <c r="L31" s="25">
        <f t="shared" si="9"/>
        <v>1402000</v>
      </c>
      <c r="M31" s="25">
        <f t="shared" si="9"/>
        <v>1945000</v>
      </c>
      <c r="N31" s="25">
        <f t="shared" si="9"/>
        <v>1332142</v>
      </c>
      <c r="O31" s="25">
        <f t="shared" si="9"/>
        <v>17988690</v>
      </c>
      <c r="P31" s="25">
        <f t="shared" si="9"/>
        <v>6979000</v>
      </c>
      <c r="Q31" s="25">
        <f t="shared" si="9"/>
        <v>0</v>
      </c>
      <c r="R31" s="25">
        <f t="shared" si="9"/>
        <v>0</v>
      </c>
      <c r="S31" s="25">
        <f t="shared" si="9"/>
        <v>68209193.489999995</v>
      </c>
      <c r="T31" s="25">
        <f t="shared" si="9"/>
        <v>24467726.610000003</v>
      </c>
    </row>
    <row r="32" spans="1:20" s="24" customFormat="1" ht="34.5" x14ac:dyDescent="0.25">
      <c r="A32" s="56" t="s">
        <v>17</v>
      </c>
      <c r="B32" s="48" t="s">
        <v>18</v>
      </c>
      <c r="C32" s="54"/>
      <c r="D32" s="25">
        <f t="shared" ref="D32:E32" si="10">SUM(D33:D35)</f>
        <v>1906676861.8299999</v>
      </c>
      <c r="E32" s="25">
        <f t="shared" si="10"/>
        <v>637331102</v>
      </c>
      <c r="F32" s="25"/>
      <c r="G32" s="25">
        <f t="shared" ref="G32" si="11">SUM(G33:G35)</f>
        <v>233894933.49000001</v>
      </c>
      <c r="H32" s="25">
        <f t="shared" ref="H32:T32" si="12">SUM(H33:H35)</f>
        <v>109191760</v>
      </c>
      <c r="I32" s="25">
        <f t="shared" si="12"/>
        <v>1648959250.3399999</v>
      </c>
      <c r="J32" s="25">
        <f t="shared" si="12"/>
        <v>518426200</v>
      </c>
      <c r="K32" s="25">
        <f t="shared" si="12"/>
        <v>3888988</v>
      </c>
      <c r="L32" s="25">
        <f t="shared" si="12"/>
        <v>1402000</v>
      </c>
      <c r="M32" s="25">
        <f t="shared" si="12"/>
        <v>1945000</v>
      </c>
      <c r="N32" s="25">
        <f t="shared" si="12"/>
        <v>1332142</v>
      </c>
      <c r="O32" s="25">
        <f t="shared" si="12"/>
        <v>17988690</v>
      </c>
      <c r="P32" s="25">
        <f t="shared" si="12"/>
        <v>6979000</v>
      </c>
      <c r="Q32" s="25">
        <f t="shared" si="12"/>
        <v>0</v>
      </c>
      <c r="R32" s="25">
        <f t="shared" si="12"/>
        <v>0</v>
      </c>
      <c r="S32" s="25">
        <f t="shared" si="12"/>
        <v>0</v>
      </c>
      <c r="T32" s="25">
        <f t="shared" si="12"/>
        <v>0</v>
      </c>
    </row>
    <row r="33" spans="1:43" s="22" customFormat="1" ht="16.5" x14ac:dyDescent="0.25">
      <c r="A33" s="50" t="s">
        <v>19</v>
      </c>
      <c r="B33" s="28" t="s">
        <v>20</v>
      </c>
      <c r="C33" s="55"/>
      <c r="D33" s="33">
        <f t="shared" si="2"/>
        <v>1855677788.8299999</v>
      </c>
      <c r="E33" s="33">
        <f t="shared" si="3"/>
        <v>614061917</v>
      </c>
      <c r="F33" s="33"/>
      <c r="G33" s="90">
        <f>226869008.49+7025925-50999073</f>
        <v>182895860.49000001</v>
      </c>
      <c r="H33" s="90">
        <f>108892696+299064-H34</f>
        <v>85922575</v>
      </c>
      <c r="I33" s="90">
        <v>1648959250.3399999</v>
      </c>
      <c r="J33" s="90">
        <v>518426200</v>
      </c>
      <c r="K33" s="90">
        <v>3888988</v>
      </c>
      <c r="L33" s="90">
        <v>1402000</v>
      </c>
      <c r="M33" s="90">
        <v>1945000</v>
      </c>
      <c r="N33" s="90">
        <v>1332142</v>
      </c>
      <c r="O33" s="90">
        <v>17988690</v>
      </c>
      <c r="P33" s="90">
        <v>6979000</v>
      </c>
      <c r="Q33" s="21"/>
      <c r="R33" s="21"/>
      <c r="S33" s="21"/>
      <c r="T33" s="21"/>
    </row>
    <row r="34" spans="1:43" s="22" customFormat="1" ht="16.5" x14ac:dyDescent="0.25">
      <c r="A34" s="50" t="s">
        <v>21</v>
      </c>
      <c r="B34" s="28" t="s">
        <v>22</v>
      </c>
      <c r="C34" s="55"/>
      <c r="D34" s="33">
        <f t="shared" si="2"/>
        <v>50999073</v>
      </c>
      <c r="E34" s="33">
        <f t="shared" si="3"/>
        <v>23269185</v>
      </c>
      <c r="F34" s="33"/>
      <c r="G34" s="90">
        <v>50999073</v>
      </c>
      <c r="H34" s="90">
        <v>23269185</v>
      </c>
      <c r="I34" s="100"/>
      <c r="J34" s="100"/>
      <c r="K34" s="100"/>
      <c r="L34" s="100"/>
      <c r="M34" s="100"/>
      <c r="N34" s="100"/>
      <c r="O34" s="100"/>
      <c r="P34" s="100"/>
      <c r="Q34" s="21"/>
      <c r="R34" s="21"/>
      <c r="S34" s="21"/>
      <c r="T34" s="21"/>
    </row>
    <row r="35" spans="1:43" s="22" customFormat="1" ht="16.5" hidden="1" x14ac:dyDescent="0.25">
      <c r="A35" s="52"/>
      <c r="B35" s="28"/>
      <c r="C35" s="55"/>
      <c r="D35" s="33"/>
      <c r="E35" s="33"/>
      <c r="F35" s="33"/>
      <c r="G35" s="38"/>
      <c r="H35" s="38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1:43" s="24" customFormat="1" ht="17.25" x14ac:dyDescent="0.25">
      <c r="A36" s="56" t="s">
        <v>25</v>
      </c>
      <c r="B36" s="48" t="s">
        <v>26</v>
      </c>
      <c r="C36" s="54"/>
      <c r="D36" s="25">
        <f t="shared" ref="D36:E36" si="13">SUM(D37:D41)</f>
        <v>85362591</v>
      </c>
      <c r="E36" s="25">
        <f t="shared" si="13"/>
        <v>9228645</v>
      </c>
      <c r="F36" s="25"/>
      <c r="G36" s="25">
        <f>SUM(G37:G41)</f>
        <v>85362591</v>
      </c>
      <c r="H36" s="25">
        <f t="shared" ref="H36:N36" si="14">SUM(H37:H41)</f>
        <v>9228645</v>
      </c>
      <c r="I36" s="25">
        <f t="shared" si="14"/>
        <v>0</v>
      </c>
      <c r="J36" s="25">
        <f t="shared" si="14"/>
        <v>0</v>
      </c>
      <c r="K36" s="25">
        <f t="shared" si="14"/>
        <v>0</v>
      </c>
      <c r="L36" s="25">
        <f t="shared" si="14"/>
        <v>0</v>
      </c>
      <c r="M36" s="25">
        <f t="shared" si="14"/>
        <v>0</v>
      </c>
      <c r="N36" s="25">
        <f t="shared" si="14"/>
        <v>0</v>
      </c>
      <c r="O36" s="25">
        <f>SUM(O37:O41)</f>
        <v>0</v>
      </c>
      <c r="P36" s="25"/>
      <c r="Q36" s="25">
        <f t="shared" ref="Q36:S36" si="15">SUM(Q37:Q41)</f>
        <v>0</v>
      </c>
      <c r="R36" s="25"/>
      <c r="S36" s="25">
        <f t="shared" si="15"/>
        <v>0</v>
      </c>
      <c r="T36" s="25">
        <f t="shared" ref="T36" si="16">SUM(T37:T41)</f>
        <v>0</v>
      </c>
    </row>
    <row r="37" spans="1:43" s="22" customFormat="1" ht="49.5" x14ac:dyDescent="0.25">
      <c r="A37" s="50" t="s">
        <v>27</v>
      </c>
      <c r="B37" s="28" t="s">
        <v>43</v>
      </c>
      <c r="C37" s="55"/>
      <c r="D37" s="33">
        <f t="shared" si="2"/>
        <v>73171591</v>
      </c>
      <c r="E37" s="33">
        <f t="shared" si="3"/>
        <v>6231925</v>
      </c>
      <c r="F37" s="33"/>
      <c r="G37" s="90">
        <f>71350791+1820800</f>
        <v>73171591</v>
      </c>
      <c r="H37" s="90">
        <f>5473925+758000</f>
        <v>6231925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pans="1:43" s="22" customFormat="1" ht="33" x14ac:dyDescent="0.25">
      <c r="A38" s="50" t="s">
        <v>29</v>
      </c>
      <c r="B38" s="28" t="s">
        <v>44</v>
      </c>
      <c r="C38" s="55"/>
      <c r="D38" s="33">
        <f t="shared" si="2"/>
        <v>0</v>
      </c>
      <c r="E38" s="33">
        <f t="shared" si="3"/>
        <v>0</v>
      </c>
      <c r="F38" s="33"/>
      <c r="G38" s="21"/>
      <c r="H38" s="80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1:43" s="22" customFormat="1" ht="48" x14ac:dyDescent="0.25">
      <c r="A39" s="50" t="s">
        <v>31</v>
      </c>
      <c r="B39" s="28" t="s">
        <v>32</v>
      </c>
      <c r="C39" s="55"/>
      <c r="D39" s="33">
        <f t="shared" si="2"/>
        <v>2240000</v>
      </c>
      <c r="E39" s="33">
        <f t="shared" si="3"/>
        <v>0</v>
      </c>
      <c r="F39" s="33"/>
      <c r="G39" s="90">
        <v>2240000</v>
      </c>
      <c r="H39" s="80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pans="1:43" s="22" customFormat="1" ht="33" x14ac:dyDescent="0.25">
      <c r="A40" s="50" t="s">
        <v>33</v>
      </c>
      <c r="B40" s="28" t="s">
        <v>34</v>
      </c>
      <c r="C40" s="55"/>
      <c r="D40" s="33">
        <f t="shared" si="2"/>
        <v>9951000</v>
      </c>
      <c r="E40" s="33">
        <f t="shared" si="3"/>
        <v>2996720</v>
      </c>
      <c r="F40" s="33"/>
      <c r="G40" s="90">
        <v>9951000</v>
      </c>
      <c r="H40" s="90">
        <v>2996720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1:43" s="22" customFormat="1" ht="49.5" hidden="1" x14ac:dyDescent="0.25">
      <c r="A41" s="50" t="s">
        <v>35</v>
      </c>
      <c r="B41" s="28" t="s">
        <v>36</v>
      </c>
      <c r="C41" s="55"/>
      <c r="D41" s="33">
        <f t="shared" si="2"/>
        <v>0</v>
      </c>
      <c r="E41" s="33">
        <f t="shared" si="3"/>
        <v>0</v>
      </c>
      <c r="F41" s="33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1:43" s="20" customFormat="1" ht="17.25" x14ac:dyDescent="0.25">
      <c r="A42" s="53">
        <v>3</v>
      </c>
      <c r="B42" s="48" t="s">
        <v>37</v>
      </c>
      <c r="C42" s="54"/>
      <c r="D42" s="33">
        <f t="shared" si="2"/>
        <v>0</v>
      </c>
      <c r="E42" s="33">
        <f t="shared" si="3"/>
        <v>0</v>
      </c>
      <c r="F42" s="33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43" s="20" customFormat="1" ht="17.25" x14ac:dyDescent="0.25">
      <c r="A43" s="53">
        <v>4</v>
      </c>
      <c r="B43" s="48" t="s">
        <v>38</v>
      </c>
      <c r="C43" s="54"/>
      <c r="D43" s="33">
        <f t="shared" si="2"/>
        <v>47036000</v>
      </c>
      <c r="E43" s="33">
        <f t="shared" si="3"/>
        <v>17379663.920000002</v>
      </c>
      <c r="F43" s="33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>
        <v>47036000</v>
      </c>
      <c r="T43" s="94">
        <v>17379663.920000002</v>
      </c>
    </row>
    <row r="44" spans="1:43" s="20" customFormat="1" ht="17.25" x14ac:dyDescent="0.25">
      <c r="A44" s="53">
        <v>5</v>
      </c>
      <c r="B44" s="48" t="s">
        <v>39</v>
      </c>
      <c r="C44" s="54"/>
      <c r="D44" s="33">
        <f t="shared" si="2"/>
        <v>4071424.55</v>
      </c>
      <c r="E44" s="33">
        <f t="shared" si="3"/>
        <v>788610.34</v>
      </c>
      <c r="F44" s="33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>
        <v>4071424.55</v>
      </c>
      <c r="T44" s="94">
        <v>788610.34</v>
      </c>
    </row>
    <row r="45" spans="1:43" s="20" customFormat="1" ht="17.25" x14ac:dyDescent="0.25">
      <c r="A45" s="53">
        <v>6</v>
      </c>
      <c r="B45" s="48" t="s">
        <v>40</v>
      </c>
      <c r="C45" s="54"/>
      <c r="D45" s="33">
        <f t="shared" si="2"/>
        <v>2811368.71</v>
      </c>
      <c r="E45" s="33">
        <f t="shared" si="3"/>
        <v>1022629.91</v>
      </c>
      <c r="F45" s="33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>
        <v>2811368.71</v>
      </c>
      <c r="T45" s="94">
        <v>1022629.91</v>
      </c>
    </row>
    <row r="46" spans="1:43" s="20" customFormat="1" ht="17.25" x14ac:dyDescent="0.25">
      <c r="A46" s="53">
        <v>7</v>
      </c>
      <c r="B46" s="48" t="s">
        <v>41</v>
      </c>
      <c r="C46" s="54"/>
      <c r="D46" s="33">
        <f t="shared" si="2"/>
        <v>14290400.23</v>
      </c>
      <c r="E46" s="33">
        <f t="shared" si="3"/>
        <v>5276822.4400000004</v>
      </c>
      <c r="F46" s="33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>
        <v>14290400.23</v>
      </c>
      <c r="T46" s="94">
        <v>5276822.4400000004</v>
      </c>
    </row>
    <row r="47" spans="1:43" s="20" customFormat="1" ht="20.25" x14ac:dyDescent="0.25">
      <c r="A47" s="163" t="s">
        <v>45</v>
      </c>
      <c r="B47" s="163"/>
      <c r="C47" s="57"/>
      <c r="D47" s="25">
        <f t="shared" ref="D47:E47" si="17">SUM(D48+D84+D186+D187+D206+D223+D241)</f>
        <v>2070039758.5999999</v>
      </c>
      <c r="E47" s="25">
        <f t="shared" si="17"/>
        <v>647752188.68999994</v>
      </c>
      <c r="F47" s="25"/>
      <c r="G47" s="25">
        <f t="shared" ref="G47" si="18">SUM(G48+G84+G186+G187+G206+G223+G241)</f>
        <v>319257524.49000001</v>
      </c>
      <c r="H47" s="25">
        <f t="shared" ref="H47:T47" si="19">SUM(H48+H84+H186+H187+H206+H223+H241)</f>
        <v>111810934.51000001</v>
      </c>
      <c r="I47" s="25">
        <f t="shared" si="19"/>
        <v>1648959250.3399999</v>
      </c>
      <c r="J47" s="25">
        <f t="shared" si="19"/>
        <v>507173325.29999995</v>
      </c>
      <c r="K47" s="25">
        <f t="shared" si="19"/>
        <v>3888988</v>
      </c>
      <c r="L47" s="25">
        <f t="shared" si="19"/>
        <v>1321921.3999999999</v>
      </c>
      <c r="M47" s="25">
        <f t="shared" si="19"/>
        <v>1945000</v>
      </c>
      <c r="N47" s="25">
        <f t="shared" si="19"/>
        <v>1308135.93</v>
      </c>
      <c r="O47" s="25">
        <f t="shared" si="19"/>
        <v>17988690</v>
      </c>
      <c r="P47" s="25">
        <f t="shared" si="19"/>
        <v>6069270.7699999996</v>
      </c>
      <c r="Q47" s="25">
        <f t="shared" si="19"/>
        <v>245.78</v>
      </c>
      <c r="R47" s="25">
        <f t="shared" si="19"/>
        <v>0</v>
      </c>
      <c r="S47" s="25">
        <f t="shared" si="19"/>
        <v>78000059.989999995</v>
      </c>
      <c r="T47" s="25">
        <f t="shared" si="19"/>
        <v>20068600.779999997</v>
      </c>
    </row>
    <row r="48" spans="1:43" s="20" customFormat="1" ht="34.5" x14ac:dyDescent="0.25">
      <c r="A48" s="53">
        <v>1</v>
      </c>
      <c r="B48" s="48" t="s">
        <v>18</v>
      </c>
      <c r="C48" s="54"/>
      <c r="D48" s="25">
        <f t="shared" ref="D48:E48" si="20">SUM(D49+D78+D82)</f>
        <v>1906676861.8299999</v>
      </c>
      <c r="E48" s="25">
        <f t="shared" si="20"/>
        <v>619072361.3599999</v>
      </c>
      <c r="F48" s="25"/>
      <c r="G48" s="25">
        <f t="shared" ref="G48" si="21">SUM(G49+G78+G82)</f>
        <v>233894933.49000001</v>
      </c>
      <c r="H48" s="25">
        <f t="shared" ref="H48:T48" si="22">SUM(H49+H78+H82)</f>
        <v>103199707.96000001</v>
      </c>
      <c r="I48" s="25">
        <f t="shared" si="22"/>
        <v>1648959250.3399999</v>
      </c>
      <c r="J48" s="25">
        <f t="shared" si="22"/>
        <v>507173325.29999995</v>
      </c>
      <c r="K48" s="25">
        <f t="shared" si="22"/>
        <v>3888988</v>
      </c>
      <c r="L48" s="25">
        <f t="shared" si="22"/>
        <v>1321921.3999999999</v>
      </c>
      <c r="M48" s="25">
        <f t="shared" si="22"/>
        <v>1945000</v>
      </c>
      <c r="N48" s="25">
        <f t="shared" si="22"/>
        <v>1308135.93</v>
      </c>
      <c r="O48" s="25">
        <f t="shared" si="22"/>
        <v>17988690</v>
      </c>
      <c r="P48" s="25">
        <f t="shared" si="22"/>
        <v>6069270.7699999996</v>
      </c>
      <c r="Q48" s="25">
        <f t="shared" si="22"/>
        <v>0</v>
      </c>
      <c r="R48" s="25">
        <f t="shared" si="22"/>
        <v>0</v>
      </c>
      <c r="S48" s="25">
        <f t="shared" si="22"/>
        <v>0</v>
      </c>
      <c r="T48" s="25">
        <f t="shared" si="22"/>
        <v>0</v>
      </c>
      <c r="AQ48" s="20">
        <v>173284000</v>
      </c>
    </row>
    <row r="49" spans="1:20" s="20" customFormat="1" ht="34.5" x14ac:dyDescent="0.25">
      <c r="A49" s="53" t="s">
        <v>19</v>
      </c>
      <c r="B49" s="48" t="s">
        <v>20</v>
      </c>
      <c r="C49" s="54"/>
      <c r="D49" s="25">
        <f t="shared" ref="D49:O49" si="23">SUM(D50+D51+D52+D53+D54+D55+D59+D60+D61+D64+D65+D68)+D72+D75</f>
        <v>1855677788.8299999</v>
      </c>
      <c r="E49" s="25">
        <f t="shared" si="23"/>
        <v>598806890.43999994</v>
      </c>
      <c r="F49" s="25"/>
      <c r="G49" s="25">
        <f t="shared" si="23"/>
        <v>182895860.49000001</v>
      </c>
      <c r="H49" s="25">
        <f t="shared" si="23"/>
        <v>82934237.040000007</v>
      </c>
      <c r="I49" s="25">
        <f t="shared" si="23"/>
        <v>1648959250.3399999</v>
      </c>
      <c r="J49" s="25">
        <f t="shared" si="23"/>
        <v>507173325.29999995</v>
      </c>
      <c r="K49" s="25">
        <f t="shared" si="23"/>
        <v>3888988</v>
      </c>
      <c r="L49" s="25">
        <f t="shared" si="23"/>
        <v>1321921.3999999999</v>
      </c>
      <c r="M49" s="25">
        <f t="shared" si="23"/>
        <v>1945000</v>
      </c>
      <c r="N49" s="25">
        <f t="shared" si="23"/>
        <v>1308135.93</v>
      </c>
      <c r="O49" s="25">
        <f t="shared" si="23"/>
        <v>17988690</v>
      </c>
      <c r="P49" s="25">
        <f t="shared" ref="P49:T49" si="24">SUM(P50+P51+P52+P53+P54+P55+P59+P60+P61+P64+P65+P68)+P72</f>
        <v>6069270.7699999996</v>
      </c>
      <c r="Q49" s="25">
        <f t="shared" si="24"/>
        <v>0</v>
      </c>
      <c r="R49" s="25">
        <f t="shared" si="24"/>
        <v>0</v>
      </c>
      <c r="S49" s="25">
        <f t="shared" si="24"/>
        <v>0</v>
      </c>
      <c r="T49" s="25">
        <f t="shared" si="24"/>
        <v>0</v>
      </c>
    </row>
    <row r="50" spans="1:20" s="22" customFormat="1" ht="16.5" x14ac:dyDescent="0.25">
      <c r="A50" s="50" t="s">
        <v>46</v>
      </c>
      <c r="B50" s="28" t="s">
        <v>47</v>
      </c>
      <c r="C50" s="55">
        <v>211</v>
      </c>
      <c r="D50" s="33">
        <f t="shared" si="2"/>
        <v>1247512661.3399999</v>
      </c>
      <c r="E50" s="33">
        <f t="shared" si="3"/>
        <v>390341709.99999994</v>
      </c>
      <c r="F50" s="33"/>
      <c r="G50" s="80">
        <v>7080500</v>
      </c>
      <c r="H50" s="80">
        <v>2365555.94</v>
      </c>
      <c r="I50" s="38">
        <v>1237453980.3399999</v>
      </c>
      <c r="J50" s="94">
        <f>-21541.11+378705096.9+-190.08+8266966.95</f>
        <v>386950332.65999997</v>
      </c>
      <c r="K50" s="38">
        <f>2844759+133422</f>
        <v>2978181</v>
      </c>
      <c r="L50" s="94">
        <v>1025821.4</v>
      </c>
      <c r="M50" s="21"/>
      <c r="N50" s="21"/>
      <c r="O50" s="21"/>
      <c r="P50" s="21"/>
      <c r="Q50" s="21"/>
      <c r="R50" s="21"/>
      <c r="S50" s="21"/>
      <c r="T50" s="21"/>
    </row>
    <row r="51" spans="1:20" s="22" customFormat="1" ht="16.5" x14ac:dyDescent="0.25">
      <c r="A51" s="50" t="s">
        <v>48</v>
      </c>
      <c r="B51" s="28" t="s">
        <v>49</v>
      </c>
      <c r="C51" s="55">
        <v>212</v>
      </c>
      <c r="D51" s="33">
        <f t="shared" si="2"/>
        <v>2011690</v>
      </c>
      <c r="E51" s="33">
        <f t="shared" si="3"/>
        <v>1328161.69</v>
      </c>
      <c r="F51" s="33"/>
      <c r="G51" s="80">
        <f>-2880+69570</f>
        <v>66690</v>
      </c>
      <c r="H51" s="80">
        <v>20025.759999999998</v>
      </c>
      <c r="I51" s="38"/>
      <c r="J51" s="94"/>
      <c r="K51" s="38"/>
      <c r="L51" s="94"/>
      <c r="M51" s="38">
        <v>1945000</v>
      </c>
      <c r="N51" s="80">
        <v>1308135.93</v>
      </c>
      <c r="O51" s="21"/>
      <c r="P51" s="21"/>
      <c r="Q51" s="21"/>
      <c r="R51" s="21"/>
      <c r="S51" s="21"/>
      <c r="T51" s="21"/>
    </row>
    <row r="52" spans="1:20" s="22" customFormat="1" ht="16.5" x14ac:dyDescent="0.25">
      <c r="A52" s="50" t="s">
        <v>50</v>
      </c>
      <c r="B52" s="28" t="s">
        <v>51</v>
      </c>
      <c r="C52" s="55">
        <v>213</v>
      </c>
      <c r="D52" s="33">
        <f t="shared" si="2"/>
        <v>374135758</v>
      </c>
      <c r="E52" s="33">
        <f t="shared" si="3"/>
        <v>115817435.36</v>
      </c>
      <c r="F52" s="33"/>
      <c r="G52" s="80">
        <v>2124210</v>
      </c>
      <c r="H52" s="80">
        <v>733890</v>
      </c>
      <c r="I52" s="38">
        <v>371127070</v>
      </c>
      <c r="J52" s="94">
        <f>2349188.83+112438256.53</f>
        <v>114787445.36</v>
      </c>
      <c r="K52" s="38">
        <f>844852+39626</f>
        <v>884478</v>
      </c>
      <c r="L52" s="94">
        <v>296100</v>
      </c>
      <c r="M52" s="21"/>
      <c r="N52" s="21"/>
      <c r="O52" s="21"/>
      <c r="P52" s="21"/>
      <c r="Q52" s="21"/>
      <c r="R52" s="21"/>
      <c r="S52" s="21"/>
      <c r="T52" s="21"/>
    </row>
    <row r="53" spans="1:20" s="22" customFormat="1" ht="16.5" x14ac:dyDescent="0.25">
      <c r="A53" s="52" t="s">
        <v>52</v>
      </c>
      <c r="B53" s="28" t="s">
        <v>53</v>
      </c>
      <c r="C53" s="55">
        <v>221</v>
      </c>
      <c r="D53" s="33">
        <f t="shared" si="2"/>
        <v>1100865.04</v>
      </c>
      <c r="E53" s="33">
        <f t="shared" si="3"/>
        <v>368047.39</v>
      </c>
      <c r="F53" s="33"/>
      <c r="G53" s="80">
        <f>-67134.96+1168000</f>
        <v>1100865.04</v>
      </c>
      <c r="H53" s="80">
        <v>368047.39</v>
      </c>
      <c r="I53" s="21"/>
      <c r="J53" s="94"/>
      <c r="K53" s="21"/>
      <c r="L53" s="94"/>
      <c r="M53" s="21"/>
      <c r="N53" s="21"/>
      <c r="O53" s="21"/>
      <c r="P53" s="21"/>
      <c r="Q53" s="21"/>
      <c r="R53" s="21"/>
      <c r="S53" s="21"/>
      <c r="T53" s="21"/>
    </row>
    <row r="54" spans="1:20" s="22" customFormat="1" ht="16.5" x14ac:dyDescent="0.25">
      <c r="A54" s="50" t="s">
        <v>54</v>
      </c>
      <c r="B54" s="28" t="s">
        <v>55</v>
      </c>
      <c r="C54" s="55">
        <v>222</v>
      </c>
      <c r="D54" s="33">
        <f t="shared" si="2"/>
        <v>0</v>
      </c>
      <c r="E54" s="33">
        <f t="shared" si="3"/>
        <v>0</v>
      </c>
      <c r="F54" s="33"/>
      <c r="G54" s="80"/>
      <c r="H54" s="80"/>
      <c r="I54" s="21"/>
      <c r="J54" s="94"/>
      <c r="K54" s="21"/>
      <c r="L54" s="80"/>
      <c r="M54" s="21"/>
      <c r="N54" s="21"/>
      <c r="O54" s="21"/>
      <c r="P54" s="21"/>
      <c r="Q54" s="21"/>
      <c r="R54" s="21"/>
      <c r="S54" s="21"/>
      <c r="T54" s="21"/>
    </row>
    <row r="55" spans="1:20" s="22" customFormat="1" ht="16.5" x14ac:dyDescent="0.25">
      <c r="A55" s="50" t="s">
        <v>56</v>
      </c>
      <c r="B55" s="28" t="s">
        <v>57</v>
      </c>
      <c r="C55" s="55">
        <v>223</v>
      </c>
      <c r="D55" s="33">
        <f t="shared" si="2"/>
        <v>123005835.45</v>
      </c>
      <c r="E55" s="33">
        <f t="shared" si="3"/>
        <v>69205593.939999998</v>
      </c>
      <c r="F55" s="33"/>
      <c r="G55" s="80">
        <f>SUM(G56:G58)</f>
        <v>123005835.45</v>
      </c>
      <c r="H55" s="80">
        <f>SUM(H56:H58)</f>
        <v>69205593.939999998</v>
      </c>
      <c r="I55" s="21"/>
      <c r="J55" s="94"/>
      <c r="K55" s="21"/>
      <c r="L55" s="80"/>
      <c r="M55" s="21"/>
      <c r="N55" s="21"/>
      <c r="O55" s="21"/>
      <c r="P55" s="21"/>
      <c r="Q55" s="21"/>
      <c r="R55" s="21"/>
      <c r="S55" s="21"/>
      <c r="T55" s="21"/>
    </row>
    <row r="56" spans="1:20" s="22" customFormat="1" ht="16.5" x14ac:dyDescent="0.25">
      <c r="A56" s="50"/>
      <c r="B56" s="28" t="s">
        <v>58</v>
      </c>
      <c r="C56" s="55">
        <v>223</v>
      </c>
      <c r="D56" s="33">
        <f t="shared" si="2"/>
        <v>82194946.159999996</v>
      </c>
      <c r="E56" s="33">
        <f t="shared" si="3"/>
        <v>55852934.039999999</v>
      </c>
      <c r="F56" s="33"/>
      <c r="G56" s="80">
        <f>-5161838.69+87356784.85</f>
        <v>82194946.159999996</v>
      </c>
      <c r="H56" s="80">
        <v>55852934.039999999</v>
      </c>
      <c r="I56" s="21"/>
      <c r="J56" s="94"/>
      <c r="K56" s="21"/>
      <c r="L56" s="80"/>
      <c r="M56" s="21"/>
      <c r="N56" s="21"/>
      <c r="O56" s="21"/>
      <c r="P56" s="21"/>
      <c r="Q56" s="21"/>
      <c r="R56" s="21"/>
      <c r="S56" s="21"/>
      <c r="T56" s="21"/>
    </row>
    <row r="57" spans="1:20" s="22" customFormat="1" ht="16.5" x14ac:dyDescent="0.25">
      <c r="A57" s="50"/>
      <c r="B57" s="28" t="s">
        <v>59</v>
      </c>
      <c r="C57" s="55">
        <v>223</v>
      </c>
      <c r="D57" s="33">
        <f t="shared" si="2"/>
        <v>29711818.530000001</v>
      </c>
      <c r="E57" s="33">
        <f t="shared" si="3"/>
        <v>9928703.8399999999</v>
      </c>
      <c r="F57" s="33"/>
      <c r="G57" s="80">
        <f>-2357286.47+32069105</f>
        <v>29711818.530000001</v>
      </c>
      <c r="H57" s="80">
        <v>9928703.8399999999</v>
      </c>
      <c r="I57" s="21"/>
      <c r="J57" s="94"/>
      <c r="K57" s="21"/>
      <c r="L57" s="80"/>
      <c r="M57" s="21"/>
      <c r="N57" s="21"/>
      <c r="O57" s="21"/>
      <c r="P57" s="21"/>
      <c r="Q57" s="21"/>
      <c r="R57" s="21"/>
      <c r="S57" s="21"/>
      <c r="T57" s="21"/>
    </row>
    <row r="58" spans="1:20" s="22" customFormat="1" ht="16.5" x14ac:dyDescent="0.25">
      <c r="A58" s="50"/>
      <c r="B58" s="28" t="s">
        <v>60</v>
      </c>
      <c r="C58" s="55">
        <v>223</v>
      </c>
      <c r="D58" s="33">
        <f t="shared" si="2"/>
        <v>11099070.76</v>
      </c>
      <c r="E58" s="33">
        <f t="shared" si="3"/>
        <v>3423956.06</v>
      </c>
      <c r="F58" s="33"/>
      <c r="G58" s="80">
        <f>-677046.24+11776117</f>
        <v>11099070.76</v>
      </c>
      <c r="H58" s="80">
        <v>3423956.06</v>
      </c>
      <c r="I58" s="21"/>
      <c r="J58" s="94"/>
      <c r="K58" s="21"/>
      <c r="L58" s="80"/>
      <c r="M58" s="21"/>
      <c r="N58" s="21"/>
      <c r="O58" s="21"/>
      <c r="P58" s="21"/>
      <c r="Q58" s="21"/>
      <c r="R58" s="21"/>
      <c r="S58" s="21"/>
      <c r="T58" s="21"/>
    </row>
    <row r="59" spans="1:20" s="22" customFormat="1" ht="16.5" x14ac:dyDescent="0.25">
      <c r="A59" s="52" t="s">
        <v>61</v>
      </c>
      <c r="B59" s="28" t="s">
        <v>62</v>
      </c>
      <c r="C59" s="55">
        <v>224</v>
      </c>
      <c r="D59" s="33">
        <f t="shared" si="2"/>
        <v>0</v>
      </c>
      <c r="E59" s="33">
        <f t="shared" si="3"/>
        <v>0</v>
      </c>
      <c r="F59" s="33"/>
      <c r="G59" s="80"/>
      <c r="H59" s="80"/>
      <c r="I59" s="21"/>
      <c r="J59" s="94"/>
      <c r="K59" s="21"/>
      <c r="L59" s="80"/>
      <c r="M59" s="21"/>
      <c r="N59" s="21"/>
      <c r="O59" s="21"/>
      <c r="P59" s="21"/>
      <c r="Q59" s="21"/>
      <c r="R59" s="21"/>
      <c r="S59" s="21"/>
      <c r="T59" s="21"/>
    </row>
    <row r="60" spans="1:20" s="22" customFormat="1" ht="16.5" x14ac:dyDescent="0.25">
      <c r="A60" s="52" t="s">
        <v>63</v>
      </c>
      <c r="B60" s="28" t="s">
        <v>64</v>
      </c>
      <c r="C60" s="55">
        <v>225</v>
      </c>
      <c r="D60" s="33">
        <f t="shared" si="2"/>
        <v>16912698</v>
      </c>
      <c r="E60" s="33">
        <f t="shared" si="3"/>
        <v>3140220.57</v>
      </c>
      <c r="F60" s="33"/>
      <c r="G60" s="80">
        <f>-1285770+18198468</f>
        <v>16912698</v>
      </c>
      <c r="H60" s="80">
        <v>3140220.57</v>
      </c>
      <c r="I60" s="21"/>
      <c r="J60" s="94"/>
      <c r="K60" s="21"/>
      <c r="L60" s="80"/>
      <c r="M60" s="21"/>
      <c r="N60" s="21"/>
      <c r="O60" s="21"/>
      <c r="P60" s="21"/>
      <c r="Q60" s="21"/>
      <c r="R60" s="21"/>
      <c r="S60" s="21"/>
      <c r="T60" s="21"/>
    </row>
    <row r="61" spans="1:20" s="22" customFormat="1" ht="16.5" x14ac:dyDescent="0.25">
      <c r="A61" s="52" t="s">
        <v>65</v>
      </c>
      <c r="B61" s="28" t="s">
        <v>66</v>
      </c>
      <c r="C61" s="55">
        <v>226</v>
      </c>
      <c r="D61" s="33">
        <f t="shared" si="2"/>
        <v>41880963</v>
      </c>
      <c r="E61" s="33">
        <f t="shared" si="3"/>
        <v>12388836.109999999</v>
      </c>
      <c r="F61" s="33"/>
      <c r="G61" s="80">
        <f>SUM(G62:G63)</f>
        <v>23975973</v>
      </c>
      <c r="H61" s="80">
        <f>SUM(H62:H63)</f>
        <v>6279781.4000000004</v>
      </c>
      <c r="I61" s="38">
        <f t="shared" ref="I61:S61" si="25">SUM(I62:I63)</f>
        <v>0</v>
      </c>
      <c r="J61" s="82">
        <f t="shared" si="25"/>
        <v>57083.94</v>
      </c>
      <c r="K61" s="38">
        <f t="shared" si="25"/>
        <v>0</v>
      </c>
      <c r="L61" s="80"/>
      <c r="M61" s="38">
        <f t="shared" si="25"/>
        <v>0</v>
      </c>
      <c r="N61" s="38"/>
      <c r="O61" s="38">
        <f t="shared" si="25"/>
        <v>17904990</v>
      </c>
      <c r="P61" s="80">
        <f>SUM(P62:P63)</f>
        <v>6051970.7699999996</v>
      </c>
      <c r="Q61" s="38">
        <f t="shared" si="25"/>
        <v>0</v>
      </c>
      <c r="R61" s="38"/>
      <c r="S61" s="38">
        <f t="shared" si="25"/>
        <v>0</v>
      </c>
      <c r="T61" s="38">
        <f t="shared" ref="T61" si="26">SUM(T62:T63)</f>
        <v>0</v>
      </c>
    </row>
    <row r="62" spans="1:20" s="22" customFormat="1" ht="16.5" x14ac:dyDescent="0.25">
      <c r="A62" s="52"/>
      <c r="B62" s="28" t="s">
        <v>75</v>
      </c>
      <c r="C62" s="55">
        <v>226</v>
      </c>
      <c r="D62" s="33">
        <f t="shared" si="2"/>
        <v>28982890</v>
      </c>
      <c r="E62" s="33">
        <f t="shared" si="3"/>
        <v>9254122.6600000001</v>
      </c>
      <c r="F62" s="33"/>
      <c r="G62" s="80">
        <f>-588700+11666600</f>
        <v>11077900</v>
      </c>
      <c r="H62" s="80">
        <v>3202151.89</v>
      </c>
      <c r="I62" s="21"/>
      <c r="J62" s="94"/>
      <c r="K62" s="21"/>
      <c r="L62" s="80"/>
      <c r="M62" s="21"/>
      <c r="N62" s="21"/>
      <c r="O62" s="38">
        <v>17904990</v>
      </c>
      <c r="P62" s="80">
        <v>6051970.7699999996</v>
      </c>
      <c r="Q62" s="21"/>
      <c r="R62" s="21"/>
      <c r="S62" s="21"/>
      <c r="T62" s="21"/>
    </row>
    <row r="63" spans="1:20" s="22" customFormat="1" ht="16.5" x14ac:dyDescent="0.25">
      <c r="A63" s="52"/>
      <c r="B63" s="28" t="s">
        <v>285</v>
      </c>
      <c r="C63" s="55">
        <v>226</v>
      </c>
      <c r="D63" s="33">
        <f t="shared" si="2"/>
        <v>12898073</v>
      </c>
      <c r="E63" s="33">
        <f t="shared" si="3"/>
        <v>3134713.45</v>
      </c>
      <c r="F63" s="33"/>
      <c r="G63" s="80">
        <f>-1441569+13750942+588700</f>
        <v>12898073</v>
      </c>
      <c r="H63" s="80">
        <f>6279781.4-3202151.89</f>
        <v>3077629.5100000002</v>
      </c>
      <c r="I63" s="21"/>
      <c r="J63" s="94">
        <v>57083.94</v>
      </c>
      <c r="K63" s="21"/>
      <c r="L63" s="80"/>
      <c r="M63" s="21"/>
      <c r="N63" s="21"/>
      <c r="O63" s="21"/>
      <c r="P63" s="80"/>
      <c r="Q63" s="21"/>
      <c r="R63" s="21"/>
      <c r="S63" s="21"/>
      <c r="T63" s="21"/>
    </row>
    <row r="64" spans="1:20" s="22" customFormat="1" ht="16.5" x14ac:dyDescent="0.25">
      <c r="A64" s="52" t="s">
        <v>67</v>
      </c>
      <c r="B64" s="28" t="s">
        <v>68</v>
      </c>
      <c r="C64" s="55">
        <v>290</v>
      </c>
      <c r="D64" s="33">
        <f t="shared" si="2"/>
        <v>0</v>
      </c>
      <c r="E64" s="33">
        <f t="shared" si="3"/>
        <v>0</v>
      </c>
      <c r="F64" s="33"/>
      <c r="G64" s="80"/>
      <c r="H64" s="80"/>
      <c r="I64" s="21"/>
      <c r="J64" s="94"/>
      <c r="K64" s="21"/>
      <c r="L64" s="21"/>
      <c r="M64" s="21"/>
      <c r="N64" s="21"/>
      <c r="O64" s="21"/>
      <c r="P64" s="80"/>
      <c r="Q64" s="21"/>
      <c r="R64" s="21"/>
      <c r="S64" s="21"/>
      <c r="T64" s="21"/>
    </row>
    <row r="65" spans="1:20" s="22" customFormat="1" ht="16.5" x14ac:dyDescent="0.25">
      <c r="A65" s="52" t="s">
        <v>69</v>
      </c>
      <c r="B65" s="28" t="s">
        <v>70</v>
      </c>
      <c r="C65" s="55">
        <v>310</v>
      </c>
      <c r="D65" s="33">
        <f t="shared" si="2"/>
        <v>39781365</v>
      </c>
      <c r="E65" s="33">
        <f t="shared" si="3"/>
        <v>4653446.9000000004</v>
      </c>
      <c r="F65" s="33"/>
      <c r="G65" s="80"/>
      <c r="H65" s="80"/>
      <c r="I65" s="38">
        <f>SUM(I66:I67)</f>
        <v>39768200</v>
      </c>
      <c r="J65" s="94">
        <f>SUM(J66:J67)</f>
        <v>4653446.9000000004</v>
      </c>
      <c r="K65" s="38">
        <f>SUM(K66:K67)</f>
        <v>13165</v>
      </c>
      <c r="L65" s="38"/>
      <c r="M65" s="21"/>
      <c r="N65" s="21"/>
      <c r="O65" s="21"/>
      <c r="P65" s="80"/>
      <c r="Q65" s="21"/>
      <c r="R65" s="21"/>
      <c r="S65" s="21"/>
      <c r="T65" s="21"/>
    </row>
    <row r="66" spans="1:20" s="22" customFormat="1" ht="16.5" x14ac:dyDescent="0.25">
      <c r="A66" s="52"/>
      <c r="B66" s="28" t="s">
        <v>71</v>
      </c>
      <c r="C66" s="55">
        <v>310</v>
      </c>
      <c r="D66" s="33">
        <f t="shared" si="2"/>
        <v>32094000</v>
      </c>
      <c r="E66" s="33">
        <f t="shared" si="3"/>
        <v>0</v>
      </c>
      <c r="F66" s="33"/>
      <c r="G66" s="80"/>
      <c r="H66" s="80"/>
      <c r="I66" s="38">
        <v>32094000</v>
      </c>
      <c r="J66" s="94"/>
      <c r="K66" s="21"/>
      <c r="L66" s="21"/>
      <c r="M66" s="21"/>
      <c r="N66" s="21"/>
      <c r="O66" s="21"/>
      <c r="P66" s="80"/>
      <c r="Q66" s="21"/>
      <c r="R66" s="21"/>
      <c r="S66" s="21"/>
      <c r="T66" s="21"/>
    </row>
    <row r="67" spans="1:20" s="22" customFormat="1" ht="16.5" x14ac:dyDescent="0.25">
      <c r="A67" s="52"/>
      <c r="B67" s="28" t="s">
        <v>72</v>
      </c>
      <c r="C67" s="55">
        <v>310</v>
      </c>
      <c r="D67" s="33">
        <f t="shared" si="2"/>
        <v>7687365</v>
      </c>
      <c r="E67" s="33">
        <f t="shared" si="3"/>
        <v>4653446.9000000004</v>
      </c>
      <c r="F67" s="33"/>
      <c r="G67" s="80"/>
      <c r="H67" s="80"/>
      <c r="I67" s="38">
        <f>7920800-246600</f>
        <v>7674200</v>
      </c>
      <c r="J67" s="94">
        <v>4653446.9000000004</v>
      </c>
      <c r="K67" s="38">
        <v>13165</v>
      </c>
      <c r="L67" s="38"/>
      <c r="M67" s="21"/>
      <c r="N67" s="21"/>
      <c r="O67" s="21"/>
      <c r="P67" s="80"/>
      <c r="Q67" s="21"/>
      <c r="R67" s="21"/>
      <c r="S67" s="21"/>
      <c r="T67" s="21"/>
    </row>
    <row r="68" spans="1:20" s="22" customFormat="1" ht="16.5" x14ac:dyDescent="0.25">
      <c r="A68" s="52" t="s">
        <v>73</v>
      </c>
      <c r="B68" s="28" t="s">
        <v>74</v>
      </c>
      <c r="C68" s="55">
        <v>340</v>
      </c>
      <c r="D68" s="33">
        <f t="shared" si="2"/>
        <v>2310028</v>
      </c>
      <c r="E68" s="33">
        <f t="shared" si="3"/>
        <v>1284293.48</v>
      </c>
      <c r="F68" s="33"/>
      <c r="G68" s="80">
        <f>SUM(G69:G71)</f>
        <v>1603164</v>
      </c>
      <c r="H68" s="80">
        <f>SUM(H69:H71)</f>
        <v>541977.04</v>
      </c>
      <c r="I68" s="38">
        <f>SUM(I69:I71)</f>
        <v>610000</v>
      </c>
      <c r="J68" s="94">
        <f>SUM(J69:J71)</f>
        <v>725016.44</v>
      </c>
      <c r="K68" s="38">
        <f>SUM(K69:K71)</f>
        <v>13164</v>
      </c>
      <c r="L68" s="38"/>
      <c r="M68" s="38">
        <f t="shared" ref="M68:O68" si="27">SUM(M69:M71)</f>
        <v>0</v>
      </c>
      <c r="N68" s="38"/>
      <c r="O68" s="38">
        <f t="shared" si="27"/>
        <v>83700</v>
      </c>
      <c r="P68" s="80">
        <f>SUM(P69:P71)</f>
        <v>17300</v>
      </c>
      <c r="Q68" s="21"/>
      <c r="R68" s="21"/>
      <c r="S68" s="21"/>
      <c r="T68" s="21"/>
    </row>
    <row r="69" spans="1:20" s="22" customFormat="1" ht="16.5" x14ac:dyDescent="0.25">
      <c r="A69" s="52"/>
      <c r="B69" s="28" t="s">
        <v>75</v>
      </c>
      <c r="C69" s="55">
        <v>340</v>
      </c>
      <c r="D69" s="33">
        <f t="shared" si="2"/>
        <v>317864</v>
      </c>
      <c r="E69" s="33">
        <f t="shared" si="3"/>
        <v>35700</v>
      </c>
      <c r="F69" s="33"/>
      <c r="G69" s="80">
        <v>234164</v>
      </c>
      <c r="H69" s="80">
        <v>18400</v>
      </c>
      <c r="I69" s="38"/>
      <c r="J69" s="94"/>
      <c r="K69" s="21"/>
      <c r="L69" s="21"/>
      <c r="M69" s="21"/>
      <c r="N69" s="21"/>
      <c r="O69" s="38">
        <v>83700</v>
      </c>
      <c r="P69" s="80">
        <v>17300</v>
      </c>
      <c r="Q69" s="21"/>
      <c r="R69" s="21"/>
      <c r="S69" s="21"/>
      <c r="T69" s="21"/>
    </row>
    <row r="70" spans="1:20" s="22" customFormat="1" ht="16.5" x14ac:dyDescent="0.25">
      <c r="A70" s="52"/>
      <c r="B70" s="28" t="s">
        <v>76</v>
      </c>
      <c r="C70" s="55">
        <v>340</v>
      </c>
      <c r="D70" s="33">
        <f t="shared" si="2"/>
        <v>623164</v>
      </c>
      <c r="E70" s="33">
        <f t="shared" si="3"/>
        <v>725016.44</v>
      </c>
      <c r="F70" s="33"/>
      <c r="G70" s="80"/>
      <c r="H70" s="80"/>
      <c r="I70" s="38">
        <v>610000</v>
      </c>
      <c r="J70" s="94">
        <v>725016.44</v>
      </c>
      <c r="K70" s="38">
        <v>13164</v>
      </c>
      <c r="L70" s="38"/>
      <c r="M70" s="21"/>
      <c r="N70" s="21"/>
      <c r="O70" s="21"/>
      <c r="P70" s="80"/>
      <c r="Q70" s="21"/>
      <c r="R70" s="21"/>
      <c r="S70" s="21"/>
      <c r="T70" s="21"/>
    </row>
    <row r="71" spans="1:20" s="22" customFormat="1" ht="16.5" x14ac:dyDescent="0.25">
      <c r="A71" s="52"/>
      <c r="B71" s="28" t="s">
        <v>77</v>
      </c>
      <c r="C71" s="55">
        <v>340</v>
      </c>
      <c r="D71" s="33">
        <f t="shared" si="2"/>
        <v>1369000</v>
      </c>
      <c r="E71" s="33">
        <f t="shared" si="3"/>
        <v>523577.04</v>
      </c>
      <c r="F71" s="33"/>
      <c r="G71" s="80">
        <f>-49000+1418000</f>
        <v>1369000</v>
      </c>
      <c r="H71" s="80">
        <f>99981+53737+369859.04</f>
        <v>523577.04</v>
      </c>
      <c r="I71" s="21"/>
      <c r="J71" s="80"/>
      <c r="K71" s="21"/>
      <c r="L71" s="21"/>
      <c r="M71" s="21"/>
      <c r="N71" s="21"/>
      <c r="O71" s="21"/>
      <c r="P71" s="21"/>
      <c r="Q71" s="21"/>
      <c r="R71" s="21"/>
      <c r="S71" s="21"/>
      <c r="T71" s="21"/>
    </row>
    <row r="72" spans="1:20" s="22" customFormat="1" ht="16.5" x14ac:dyDescent="0.25">
      <c r="A72" s="52" t="s">
        <v>78</v>
      </c>
      <c r="B72" s="28" t="s">
        <v>79</v>
      </c>
      <c r="C72" s="55"/>
      <c r="D72" s="33">
        <f t="shared" si="2"/>
        <v>7025925</v>
      </c>
      <c r="E72" s="33">
        <f t="shared" si="3"/>
        <v>279145</v>
      </c>
      <c r="F72" s="33"/>
      <c r="G72" s="80">
        <f>SUM(G73:G74)</f>
        <v>7025925</v>
      </c>
      <c r="H72" s="80">
        <f>SUM(H73:H74)</f>
        <v>279145</v>
      </c>
      <c r="I72" s="21"/>
      <c r="J72" s="80"/>
      <c r="K72" s="21"/>
      <c r="L72" s="21"/>
      <c r="M72" s="21"/>
      <c r="N72" s="21"/>
      <c r="O72" s="21"/>
      <c r="P72" s="21"/>
      <c r="Q72" s="21"/>
      <c r="R72" s="21"/>
      <c r="S72" s="21"/>
      <c r="T72" s="21"/>
    </row>
    <row r="73" spans="1:20" s="22" customFormat="1" ht="16.5" x14ac:dyDescent="0.25">
      <c r="A73" s="52"/>
      <c r="B73" s="28" t="s">
        <v>66</v>
      </c>
      <c r="C73" s="55">
        <v>226</v>
      </c>
      <c r="D73" s="33">
        <f t="shared" si="2"/>
        <v>6997800</v>
      </c>
      <c r="E73" s="33">
        <f t="shared" si="3"/>
        <v>278770</v>
      </c>
      <c r="F73" s="33"/>
      <c r="G73" s="80">
        <f>5925+6991875</f>
        <v>6997800</v>
      </c>
      <c r="H73" s="80">
        <v>278770</v>
      </c>
      <c r="I73" s="21"/>
      <c r="J73" s="84"/>
      <c r="K73" s="21"/>
      <c r="L73" s="21"/>
      <c r="M73" s="21"/>
      <c r="N73" s="21"/>
      <c r="O73" s="21"/>
      <c r="P73" s="21"/>
      <c r="Q73" s="21"/>
      <c r="R73" s="21"/>
      <c r="S73" s="21"/>
      <c r="T73" s="21"/>
    </row>
    <row r="74" spans="1:20" s="22" customFormat="1" ht="16.5" x14ac:dyDescent="0.25">
      <c r="A74" s="52"/>
      <c r="B74" s="58" t="s">
        <v>74</v>
      </c>
      <c r="C74" s="55">
        <v>340</v>
      </c>
      <c r="D74" s="33">
        <f t="shared" si="2"/>
        <v>28125</v>
      </c>
      <c r="E74" s="33">
        <f t="shared" si="3"/>
        <v>375</v>
      </c>
      <c r="F74" s="33"/>
      <c r="G74" s="80">
        <v>28125</v>
      </c>
      <c r="H74" s="80">
        <v>375</v>
      </c>
      <c r="I74" s="21"/>
      <c r="J74" s="84"/>
      <c r="K74" s="21"/>
      <c r="L74" s="21"/>
      <c r="M74" s="21"/>
      <c r="N74" s="21"/>
      <c r="O74" s="21"/>
      <c r="P74" s="21"/>
      <c r="Q74" s="21"/>
      <c r="R74" s="21"/>
      <c r="S74" s="21"/>
      <c r="T74" s="21"/>
    </row>
    <row r="75" spans="1:20" s="22" customFormat="1" ht="16.5" hidden="1" x14ac:dyDescent="0.25">
      <c r="A75" s="52"/>
      <c r="B75" s="58"/>
      <c r="C75" s="55"/>
      <c r="D75" s="33">
        <f t="shared" si="2"/>
        <v>0</v>
      </c>
      <c r="E75" s="33">
        <f t="shared" si="3"/>
        <v>0</v>
      </c>
      <c r="F75" s="33"/>
      <c r="G75" s="80"/>
      <c r="H75" s="80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</row>
    <row r="76" spans="1:20" s="22" customFormat="1" ht="16.5" hidden="1" x14ac:dyDescent="0.25">
      <c r="A76" s="52"/>
      <c r="B76" s="58"/>
      <c r="C76" s="55"/>
      <c r="D76" s="33">
        <f t="shared" si="2"/>
        <v>0</v>
      </c>
      <c r="E76" s="33">
        <f t="shared" si="3"/>
        <v>0</v>
      </c>
      <c r="F76" s="33"/>
      <c r="G76" s="80"/>
      <c r="H76" s="80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</row>
    <row r="77" spans="1:20" s="22" customFormat="1" ht="16.5" hidden="1" x14ac:dyDescent="0.25">
      <c r="A77" s="52"/>
      <c r="B77" s="58"/>
      <c r="C77" s="55"/>
      <c r="D77" s="33">
        <f t="shared" si="2"/>
        <v>0</v>
      </c>
      <c r="E77" s="33">
        <f t="shared" si="3"/>
        <v>0</v>
      </c>
      <c r="F77" s="33"/>
      <c r="G77" s="80"/>
      <c r="H77" s="80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</row>
    <row r="78" spans="1:20" s="20" customFormat="1" ht="17.25" x14ac:dyDescent="0.25">
      <c r="A78" s="59" t="s">
        <v>21</v>
      </c>
      <c r="B78" s="48" t="s">
        <v>22</v>
      </c>
      <c r="C78" s="54"/>
      <c r="D78" s="25">
        <f t="shared" ref="D78:E78" si="28">SUM(D79:D81)</f>
        <v>50999073</v>
      </c>
      <c r="E78" s="25">
        <f t="shared" si="28"/>
        <v>20265470.919999998</v>
      </c>
      <c r="F78" s="25"/>
      <c r="G78" s="25">
        <f>SUM(G79:G81)</f>
        <v>50999073</v>
      </c>
      <c r="H78" s="25">
        <f>SUM(H79:H81)</f>
        <v>20265470.919999998</v>
      </c>
      <c r="I78" s="25">
        <f t="shared" ref="I78:T78" si="29">SUM(I79:I81)</f>
        <v>0</v>
      </c>
      <c r="J78" s="25">
        <f t="shared" si="29"/>
        <v>0</v>
      </c>
      <c r="K78" s="25">
        <f t="shared" si="29"/>
        <v>0</v>
      </c>
      <c r="L78" s="25">
        <f t="shared" si="29"/>
        <v>0</v>
      </c>
      <c r="M78" s="25">
        <f t="shared" si="29"/>
        <v>0</v>
      </c>
      <c r="N78" s="25">
        <f t="shared" si="29"/>
        <v>0</v>
      </c>
      <c r="O78" s="25">
        <f t="shared" si="29"/>
        <v>0</v>
      </c>
      <c r="P78" s="25">
        <f t="shared" si="29"/>
        <v>0</v>
      </c>
      <c r="Q78" s="25">
        <f t="shared" si="29"/>
        <v>0</v>
      </c>
      <c r="R78" s="25">
        <f t="shared" si="29"/>
        <v>0</v>
      </c>
      <c r="S78" s="25">
        <f t="shared" si="29"/>
        <v>0</v>
      </c>
      <c r="T78" s="25">
        <f t="shared" si="29"/>
        <v>0</v>
      </c>
    </row>
    <row r="79" spans="1:20" s="22" customFormat="1" ht="16.5" x14ac:dyDescent="0.25">
      <c r="A79" s="52"/>
      <c r="B79" s="28" t="s">
        <v>80</v>
      </c>
      <c r="C79" s="55">
        <v>290</v>
      </c>
      <c r="D79" s="33">
        <f t="shared" si="2"/>
        <v>17439982</v>
      </c>
      <c r="E79" s="33">
        <f t="shared" si="3"/>
        <v>7365612</v>
      </c>
      <c r="F79" s="33"/>
      <c r="G79" s="80">
        <f>-2399421+19839403</f>
        <v>17439982</v>
      </c>
      <c r="H79" s="80">
        <v>7365612</v>
      </c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</row>
    <row r="80" spans="1:20" s="22" customFormat="1" ht="16.5" x14ac:dyDescent="0.25">
      <c r="A80" s="50"/>
      <c r="B80" s="28" t="s">
        <v>81</v>
      </c>
      <c r="C80" s="55">
        <v>290</v>
      </c>
      <c r="D80" s="33">
        <f t="shared" si="2"/>
        <v>33063999</v>
      </c>
      <c r="E80" s="33">
        <f t="shared" si="3"/>
        <v>12572691.9</v>
      </c>
      <c r="F80" s="33"/>
      <c r="G80" s="80">
        <f>5275425+27788574</f>
        <v>33063999</v>
      </c>
      <c r="H80" s="80">
        <v>12572691.9</v>
      </c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spans="1:20" s="22" customFormat="1" ht="16.5" x14ac:dyDescent="0.25">
      <c r="A81" s="50"/>
      <c r="B81" s="28" t="s">
        <v>82</v>
      </c>
      <c r="C81" s="55">
        <v>290</v>
      </c>
      <c r="D81" s="33">
        <f t="shared" si="2"/>
        <v>495092</v>
      </c>
      <c r="E81" s="33">
        <f t="shared" si="3"/>
        <v>327167.02</v>
      </c>
      <c r="F81" s="33"/>
      <c r="G81" s="80">
        <f>-4376+496468+3000</f>
        <v>495092</v>
      </c>
      <c r="H81" s="80">
        <f>327167.02</f>
        <v>327167.02</v>
      </c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</row>
    <row r="82" spans="1:20" s="20" customFormat="1" ht="34.5" hidden="1" x14ac:dyDescent="0.25">
      <c r="A82" s="59" t="s">
        <v>23</v>
      </c>
      <c r="B82" s="48" t="s">
        <v>24</v>
      </c>
      <c r="C82" s="54"/>
      <c r="D82" s="33">
        <f t="shared" ref="D82:D151" si="30">SUM(G82+I82+K82+M82+O82+Q82+S82)</f>
        <v>0</v>
      </c>
      <c r="E82" s="33">
        <f t="shared" ref="E82:E151" si="31">SUM(H82+J82+L82+N82+P82+R82+T82)</f>
        <v>0</v>
      </c>
      <c r="F82" s="33"/>
      <c r="G82" s="80">
        <f>SUM(G83)</f>
        <v>0</v>
      </c>
      <c r="H82" s="25"/>
      <c r="I82" s="25">
        <f>SUM(I83)</f>
        <v>0</v>
      </c>
      <c r="J82" s="25"/>
      <c r="K82" s="25">
        <f>SUM(K83)</f>
        <v>0</v>
      </c>
      <c r="L82" s="25"/>
      <c r="M82" s="25">
        <f>SUM(M83)</f>
        <v>0</v>
      </c>
      <c r="N82" s="25"/>
      <c r="O82" s="25">
        <f>SUM(O83)</f>
        <v>0</v>
      </c>
      <c r="P82" s="25"/>
      <c r="Q82" s="25">
        <f t="shared" ref="Q82:T82" si="32">SUM(Q83)</f>
        <v>0</v>
      </c>
      <c r="R82" s="25"/>
      <c r="S82" s="25">
        <f t="shared" si="32"/>
        <v>0</v>
      </c>
      <c r="T82" s="25">
        <f t="shared" si="32"/>
        <v>0</v>
      </c>
    </row>
    <row r="83" spans="1:20" s="22" customFormat="1" ht="16.5" hidden="1" x14ac:dyDescent="0.25">
      <c r="A83" s="52"/>
      <c r="B83" s="58" t="s">
        <v>74</v>
      </c>
      <c r="C83" s="55">
        <v>340</v>
      </c>
      <c r="D83" s="33">
        <f t="shared" si="30"/>
        <v>0</v>
      </c>
      <c r="E83" s="33">
        <f t="shared" si="31"/>
        <v>0</v>
      </c>
      <c r="F83" s="33"/>
      <c r="G83" s="80"/>
      <c r="H83" s="38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</row>
    <row r="84" spans="1:20" s="20" customFormat="1" ht="17.25" x14ac:dyDescent="0.25">
      <c r="A84" s="59" t="s">
        <v>25</v>
      </c>
      <c r="B84" s="48" t="s">
        <v>26</v>
      </c>
      <c r="C84" s="54"/>
      <c r="D84" s="25">
        <f t="shared" ref="D84:E84" si="33">SUM(D85+D165+D168+D174+D180)</f>
        <v>85362836.780000001</v>
      </c>
      <c r="E84" s="25">
        <f t="shared" si="33"/>
        <v>8611226.5500000007</v>
      </c>
      <c r="F84" s="25"/>
      <c r="G84" s="25">
        <f>SUM(G85+G165+G168+G174+G180)</f>
        <v>85362591</v>
      </c>
      <c r="H84" s="25">
        <f t="shared" ref="H84:T84" si="34">SUM(H85+H165+H168+H174+H180)</f>
        <v>8611226.5500000007</v>
      </c>
      <c r="I84" s="25">
        <f t="shared" si="34"/>
        <v>0</v>
      </c>
      <c r="J84" s="25">
        <f t="shared" si="34"/>
        <v>0</v>
      </c>
      <c r="K84" s="25">
        <f t="shared" si="34"/>
        <v>0</v>
      </c>
      <c r="L84" s="25">
        <f t="shared" si="34"/>
        <v>0</v>
      </c>
      <c r="M84" s="25">
        <f t="shared" si="34"/>
        <v>0</v>
      </c>
      <c r="N84" s="25">
        <f t="shared" si="34"/>
        <v>0</v>
      </c>
      <c r="O84" s="25">
        <f t="shared" si="34"/>
        <v>0</v>
      </c>
      <c r="P84" s="25">
        <f t="shared" si="34"/>
        <v>0</v>
      </c>
      <c r="Q84" s="25">
        <f t="shared" si="34"/>
        <v>245.78</v>
      </c>
      <c r="R84" s="25">
        <f t="shared" si="34"/>
        <v>0</v>
      </c>
      <c r="S84" s="25">
        <f t="shared" si="34"/>
        <v>0</v>
      </c>
      <c r="T84" s="25">
        <f t="shared" si="34"/>
        <v>0</v>
      </c>
    </row>
    <row r="85" spans="1:20" s="20" customFormat="1" ht="51.75" x14ac:dyDescent="0.25">
      <c r="A85" s="59" t="s">
        <v>27</v>
      </c>
      <c r="B85" s="48" t="s">
        <v>83</v>
      </c>
      <c r="C85" s="54"/>
      <c r="D85" s="25">
        <f t="shared" ref="D85:P85" si="35">SUM(D86+D89+D99+D118+D129+D135)+D123</f>
        <v>73171836.780000001</v>
      </c>
      <c r="E85" s="25">
        <f t="shared" si="35"/>
        <v>5715326.5800000001</v>
      </c>
      <c r="F85" s="25">
        <f t="shared" si="35"/>
        <v>0</v>
      </c>
      <c r="G85" s="25">
        <f t="shared" si="35"/>
        <v>73171591</v>
      </c>
      <c r="H85" s="25">
        <f t="shared" si="35"/>
        <v>5715326.5800000001</v>
      </c>
      <c r="I85" s="25">
        <f t="shared" si="35"/>
        <v>0</v>
      </c>
      <c r="J85" s="25">
        <f t="shared" si="35"/>
        <v>0</v>
      </c>
      <c r="K85" s="25">
        <f t="shared" si="35"/>
        <v>0</v>
      </c>
      <c r="L85" s="25">
        <f t="shared" si="35"/>
        <v>0</v>
      </c>
      <c r="M85" s="25">
        <f t="shared" si="35"/>
        <v>0</v>
      </c>
      <c r="N85" s="25">
        <f t="shared" si="35"/>
        <v>0</v>
      </c>
      <c r="O85" s="25">
        <f t="shared" si="35"/>
        <v>0</v>
      </c>
      <c r="P85" s="25">
        <f t="shared" si="35"/>
        <v>0</v>
      </c>
      <c r="Q85" s="25">
        <f>SUM(Q86+Q89+Q99+Q118+Q129+Q135)+Q123</f>
        <v>245.78</v>
      </c>
      <c r="R85" s="25">
        <f>SUM(R86+R89+R99+R118+R129+R135)+R123</f>
        <v>0</v>
      </c>
      <c r="S85" s="25">
        <f t="shared" ref="S85:T85" si="36">SUM(S86+S89+S99+S118+S129+S135)</f>
        <v>0</v>
      </c>
      <c r="T85" s="25">
        <f t="shared" si="36"/>
        <v>0</v>
      </c>
    </row>
    <row r="86" spans="1:20" s="20" customFormat="1" ht="17.25" x14ac:dyDescent="0.25">
      <c r="A86" s="59" t="s">
        <v>84</v>
      </c>
      <c r="B86" s="48" t="s">
        <v>85</v>
      </c>
      <c r="C86" s="54"/>
      <c r="D86" s="25">
        <f t="shared" ref="D86:E86" si="37">SUM(D87:D88)</f>
        <v>0</v>
      </c>
      <c r="E86" s="25">
        <f t="shared" si="37"/>
        <v>0</v>
      </c>
      <c r="F86" s="25"/>
      <c r="G86" s="25">
        <f>SUM(G87:G88)</f>
        <v>0</v>
      </c>
      <c r="H86" s="25">
        <f t="shared" ref="H86:T86" si="38">SUM(H87:H88)</f>
        <v>0</v>
      </c>
      <c r="I86" s="25">
        <f t="shared" si="38"/>
        <v>0</v>
      </c>
      <c r="J86" s="25">
        <f t="shared" si="38"/>
        <v>0</v>
      </c>
      <c r="K86" s="25">
        <f t="shared" si="38"/>
        <v>0</v>
      </c>
      <c r="L86" s="25">
        <f t="shared" si="38"/>
        <v>0</v>
      </c>
      <c r="M86" s="25">
        <f t="shared" si="38"/>
        <v>0</v>
      </c>
      <c r="N86" s="25">
        <f t="shared" si="38"/>
        <v>0</v>
      </c>
      <c r="O86" s="25">
        <f t="shared" si="38"/>
        <v>0</v>
      </c>
      <c r="P86" s="25">
        <f t="shared" si="38"/>
        <v>0</v>
      </c>
      <c r="Q86" s="25">
        <f t="shared" si="38"/>
        <v>0</v>
      </c>
      <c r="R86" s="25">
        <f t="shared" si="38"/>
        <v>0</v>
      </c>
      <c r="S86" s="25">
        <f t="shared" si="38"/>
        <v>0</v>
      </c>
      <c r="T86" s="25">
        <f t="shared" si="38"/>
        <v>0</v>
      </c>
    </row>
    <row r="87" spans="1:20" s="26" customFormat="1" ht="16.5" x14ac:dyDescent="0.25">
      <c r="A87" s="60"/>
      <c r="B87" s="28" t="s">
        <v>86</v>
      </c>
      <c r="C87" s="55">
        <v>225</v>
      </c>
      <c r="D87" s="33">
        <f t="shared" si="30"/>
        <v>0</v>
      </c>
      <c r="E87" s="33">
        <f t="shared" si="31"/>
        <v>0</v>
      </c>
      <c r="F87" s="33"/>
      <c r="G87" s="38">
        <f>51416468.52-51416468.52</f>
        <v>0</v>
      </c>
      <c r="H87" s="38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</row>
    <row r="88" spans="1:20" s="26" customFormat="1" ht="16.5" x14ac:dyDescent="0.25">
      <c r="A88" s="52"/>
      <c r="B88" s="28" t="s">
        <v>87</v>
      </c>
      <c r="C88" s="55">
        <v>226</v>
      </c>
      <c r="D88" s="33">
        <f t="shared" si="30"/>
        <v>0</v>
      </c>
      <c r="E88" s="33">
        <f t="shared" si="31"/>
        <v>0</v>
      </c>
      <c r="F88" s="33"/>
      <c r="G88" s="38">
        <f>1800000-1800000</f>
        <v>0</v>
      </c>
      <c r="H88" s="38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</row>
    <row r="89" spans="1:20" s="20" customFormat="1" ht="17.25" x14ac:dyDescent="0.25">
      <c r="A89" s="59" t="s">
        <v>88</v>
      </c>
      <c r="B89" s="48" t="s">
        <v>89</v>
      </c>
      <c r="C89" s="54"/>
      <c r="D89" s="25">
        <f t="shared" ref="D89:E89" si="39">SUM(D90:D98)</f>
        <v>69888287</v>
      </c>
      <c r="E89" s="25">
        <f t="shared" si="39"/>
        <v>5017326.58</v>
      </c>
      <c r="F89" s="25"/>
      <c r="G89" s="25">
        <f>SUM(G90:G98)</f>
        <v>69888287</v>
      </c>
      <c r="H89" s="25">
        <f t="shared" ref="H89:T89" si="40">SUM(H90:H98)</f>
        <v>5017326.58</v>
      </c>
      <c r="I89" s="25">
        <f t="shared" si="40"/>
        <v>0</v>
      </c>
      <c r="J89" s="25">
        <f t="shared" si="40"/>
        <v>0</v>
      </c>
      <c r="K89" s="25">
        <f t="shared" si="40"/>
        <v>0</v>
      </c>
      <c r="L89" s="25">
        <f t="shared" si="40"/>
        <v>0</v>
      </c>
      <c r="M89" s="25">
        <f t="shared" si="40"/>
        <v>0</v>
      </c>
      <c r="N89" s="25">
        <f t="shared" si="40"/>
        <v>0</v>
      </c>
      <c r="O89" s="25">
        <f t="shared" si="40"/>
        <v>0</v>
      </c>
      <c r="P89" s="25">
        <f t="shared" si="40"/>
        <v>0</v>
      </c>
      <c r="Q89" s="25">
        <f t="shared" si="40"/>
        <v>0</v>
      </c>
      <c r="R89" s="25">
        <f t="shared" si="40"/>
        <v>0</v>
      </c>
      <c r="S89" s="25">
        <f t="shared" si="40"/>
        <v>0</v>
      </c>
      <c r="T89" s="25">
        <f t="shared" si="40"/>
        <v>0</v>
      </c>
    </row>
    <row r="90" spans="1:20" s="26" customFormat="1" ht="33" x14ac:dyDescent="0.25">
      <c r="A90" s="52" t="s">
        <v>90</v>
      </c>
      <c r="B90" s="28" t="s">
        <v>91</v>
      </c>
      <c r="C90" s="55">
        <v>225</v>
      </c>
      <c r="D90" s="33">
        <f t="shared" si="30"/>
        <v>65835837</v>
      </c>
      <c r="E90" s="33">
        <f t="shared" si="31"/>
        <v>4889980.58</v>
      </c>
      <c r="F90" s="33"/>
      <c r="G90" s="38">
        <f>53985837+11650000+200000</f>
        <v>65835837</v>
      </c>
      <c r="H90" s="80">
        <v>4889980.58</v>
      </c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</row>
    <row r="91" spans="1:20" s="26" customFormat="1" ht="16.5" x14ac:dyDescent="0.25">
      <c r="A91" s="52" t="s">
        <v>90</v>
      </c>
      <c r="B91" s="28" t="s">
        <v>87</v>
      </c>
      <c r="C91" s="55">
        <v>226</v>
      </c>
      <c r="D91" s="33">
        <f t="shared" si="30"/>
        <v>341850</v>
      </c>
      <c r="E91" s="33">
        <f t="shared" si="31"/>
        <v>112846</v>
      </c>
      <c r="F91" s="33"/>
      <c r="G91" s="38">
        <f>200000+341850-200000</f>
        <v>341850</v>
      </c>
      <c r="H91" s="80">
        <v>112846</v>
      </c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</row>
    <row r="92" spans="1:20" s="26" customFormat="1" ht="16.5" x14ac:dyDescent="0.25">
      <c r="A92" s="52" t="s">
        <v>92</v>
      </c>
      <c r="B92" s="28" t="s">
        <v>93</v>
      </c>
      <c r="C92" s="55">
        <v>340</v>
      </c>
      <c r="D92" s="33">
        <f t="shared" si="30"/>
        <v>0</v>
      </c>
      <c r="E92" s="33">
        <f t="shared" si="31"/>
        <v>0</v>
      </c>
      <c r="F92" s="33"/>
      <c r="G92" s="38">
        <v>0</v>
      </c>
      <c r="H92" s="38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</row>
    <row r="93" spans="1:20" s="26" customFormat="1" ht="16.5" x14ac:dyDescent="0.25">
      <c r="A93" s="52" t="s">
        <v>94</v>
      </c>
      <c r="B93" s="28" t="s">
        <v>95</v>
      </c>
      <c r="C93" s="55">
        <v>310</v>
      </c>
      <c r="D93" s="33">
        <f t="shared" si="30"/>
        <v>3447100</v>
      </c>
      <c r="E93" s="33">
        <f t="shared" si="31"/>
        <v>14500</v>
      </c>
      <c r="F93" s="33"/>
      <c r="G93" s="38">
        <f>13497100-10050000</f>
        <v>3447100</v>
      </c>
      <c r="H93" s="38">
        <v>14500</v>
      </c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</row>
    <row r="94" spans="1:20" s="26" customFormat="1" ht="33" hidden="1" x14ac:dyDescent="0.25">
      <c r="A94" s="52" t="s">
        <v>96</v>
      </c>
      <c r="B94" s="28" t="s">
        <v>97</v>
      </c>
      <c r="C94" s="55">
        <v>225</v>
      </c>
      <c r="D94" s="33">
        <f t="shared" si="30"/>
        <v>0</v>
      </c>
      <c r="E94" s="33">
        <f t="shared" si="31"/>
        <v>0</v>
      </c>
      <c r="F94" s="33"/>
      <c r="G94" s="38"/>
      <c r="H94" s="38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</row>
    <row r="95" spans="1:20" s="26" customFormat="1" ht="33" x14ac:dyDescent="0.25">
      <c r="A95" s="52" t="s">
        <v>96</v>
      </c>
      <c r="B95" s="28" t="s">
        <v>97</v>
      </c>
      <c r="C95" s="55">
        <v>226</v>
      </c>
      <c r="D95" s="33">
        <f t="shared" si="30"/>
        <v>263500</v>
      </c>
      <c r="E95" s="33">
        <f t="shared" si="31"/>
        <v>0</v>
      </c>
      <c r="F95" s="33"/>
      <c r="G95" s="38">
        <v>263500</v>
      </c>
      <c r="H95" s="38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</row>
    <row r="96" spans="1:20" s="26" customFormat="1" ht="33" hidden="1" x14ac:dyDescent="0.25">
      <c r="A96" s="52" t="s">
        <v>96</v>
      </c>
      <c r="B96" s="28" t="s">
        <v>97</v>
      </c>
      <c r="C96" s="55">
        <v>340</v>
      </c>
      <c r="D96" s="33">
        <f t="shared" si="30"/>
        <v>0</v>
      </c>
      <c r="E96" s="33">
        <f t="shared" si="31"/>
        <v>0</v>
      </c>
      <c r="F96" s="33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</row>
    <row r="97" spans="1:20" s="26" customFormat="1" ht="16.5" hidden="1" x14ac:dyDescent="0.25">
      <c r="A97" s="52" t="s">
        <v>98</v>
      </c>
      <c r="B97" s="28" t="s">
        <v>99</v>
      </c>
      <c r="C97" s="55">
        <v>310</v>
      </c>
      <c r="D97" s="33">
        <f t="shared" si="30"/>
        <v>0</v>
      </c>
      <c r="E97" s="33">
        <f t="shared" si="31"/>
        <v>0</v>
      </c>
      <c r="F97" s="33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</row>
    <row r="98" spans="1:20" s="26" customFormat="1" ht="16.5" hidden="1" x14ac:dyDescent="0.25">
      <c r="A98" s="52" t="s">
        <v>98</v>
      </c>
      <c r="B98" s="28" t="s">
        <v>99</v>
      </c>
      <c r="C98" s="55">
        <v>340</v>
      </c>
      <c r="D98" s="33">
        <f t="shared" si="30"/>
        <v>0</v>
      </c>
      <c r="E98" s="33">
        <f t="shared" si="31"/>
        <v>0</v>
      </c>
      <c r="F98" s="33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</row>
    <row r="99" spans="1:20" s="18" customFormat="1" ht="17.25" x14ac:dyDescent="0.25">
      <c r="A99" s="61" t="s">
        <v>100</v>
      </c>
      <c r="B99" s="62" t="s">
        <v>101</v>
      </c>
      <c r="C99" s="49"/>
      <c r="D99" s="34">
        <f t="shared" ref="D99:E99" si="41">SUM(D100:D117)</f>
        <v>1462504</v>
      </c>
      <c r="E99" s="34">
        <f t="shared" si="41"/>
        <v>0</v>
      </c>
      <c r="F99" s="34"/>
      <c r="G99" s="34">
        <f>SUM(G100:G117)</f>
        <v>1462504</v>
      </c>
      <c r="H99" s="34">
        <f t="shared" ref="H99:T99" si="42">SUM(H100:H117)</f>
        <v>0</v>
      </c>
      <c r="I99" s="34">
        <f t="shared" si="42"/>
        <v>0</v>
      </c>
      <c r="J99" s="34">
        <f t="shared" si="42"/>
        <v>0</v>
      </c>
      <c r="K99" s="34">
        <f t="shared" si="42"/>
        <v>0</v>
      </c>
      <c r="L99" s="34">
        <f t="shared" si="42"/>
        <v>0</v>
      </c>
      <c r="M99" s="34">
        <f t="shared" si="42"/>
        <v>0</v>
      </c>
      <c r="N99" s="34">
        <f t="shared" si="42"/>
        <v>0</v>
      </c>
      <c r="O99" s="34">
        <f t="shared" si="42"/>
        <v>0</v>
      </c>
      <c r="P99" s="34">
        <f t="shared" si="42"/>
        <v>0</v>
      </c>
      <c r="Q99" s="34">
        <f t="shared" si="42"/>
        <v>0</v>
      </c>
      <c r="R99" s="34">
        <f t="shared" si="42"/>
        <v>0</v>
      </c>
      <c r="S99" s="34">
        <f t="shared" si="42"/>
        <v>0</v>
      </c>
      <c r="T99" s="34">
        <f t="shared" si="42"/>
        <v>0</v>
      </c>
    </row>
    <row r="100" spans="1:20" s="27" customFormat="1" ht="33" hidden="1" x14ac:dyDescent="0.25">
      <c r="A100" s="63" t="s">
        <v>102</v>
      </c>
      <c r="B100" s="58" t="s">
        <v>103</v>
      </c>
      <c r="C100" s="51">
        <v>226</v>
      </c>
      <c r="D100" s="33">
        <f t="shared" si="30"/>
        <v>0</v>
      </c>
      <c r="E100" s="33">
        <f t="shared" si="31"/>
        <v>0</v>
      </c>
      <c r="F100" s="33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</row>
    <row r="101" spans="1:20" s="27" customFormat="1" ht="33" hidden="1" x14ac:dyDescent="0.25">
      <c r="A101" s="63" t="s">
        <v>102</v>
      </c>
      <c r="B101" s="58" t="s">
        <v>103</v>
      </c>
      <c r="C101" s="51">
        <v>310</v>
      </c>
      <c r="D101" s="33">
        <f t="shared" si="30"/>
        <v>0</v>
      </c>
      <c r="E101" s="33">
        <f t="shared" si="31"/>
        <v>0</v>
      </c>
      <c r="F101" s="33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</row>
    <row r="102" spans="1:20" s="27" customFormat="1" ht="16.5" hidden="1" x14ac:dyDescent="0.25">
      <c r="A102" s="63" t="s">
        <v>104</v>
      </c>
      <c r="B102" s="58" t="s">
        <v>105</v>
      </c>
      <c r="C102" s="51">
        <v>226</v>
      </c>
      <c r="D102" s="33">
        <f t="shared" si="30"/>
        <v>0</v>
      </c>
      <c r="E102" s="33">
        <f t="shared" si="31"/>
        <v>0</v>
      </c>
      <c r="F102" s="33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</row>
    <row r="103" spans="1:20" s="27" customFormat="1" ht="16.5" hidden="1" x14ac:dyDescent="0.25">
      <c r="A103" s="63" t="s">
        <v>104</v>
      </c>
      <c r="B103" s="58" t="s">
        <v>105</v>
      </c>
      <c r="C103" s="51">
        <v>310</v>
      </c>
      <c r="D103" s="33">
        <f t="shared" si="30"/>
        <v>0</v>
      </c>
      <c r="E103" s="33">
        <f t="shared" si="31"/>
        <v>0</v>
      </c>
      <c r="F103" s="33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</row>
    <row r="104" spans="1:20" s="27" customFormat="1" ht="33" hidden="1" x14ac:dyDescent="0.25">
      <c r="A104" s="63" t="s">
        <v>106</v>
      </c>
      <c r="B104" s="28" t="s">
        <v>107</v>
      </c>
      <c r="C104" s="51">
        <v>340</v>
      </c>
      <c r="D104" s="33">
        <f t="shared" si="30"/>
        <v>0</v>
      </c>
      <c r="E104" s="33">
        <f t="shared" si="31"/>
        <v>0</v>
      </c>
      <c r="F104" s="33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</row>
    <row r="105" spans="1:20" s="27" customFormat="1" ht="16.5" hidden="1" x14ac:dyDescent="0.25">
      <c r="A105" s="63" t="s">
        <v>108</v>
      </c>
      <c r="B105" s="58" t="s">
        <v>109</v>
      </c>
      <c r="C105" s="51">
        <v>226</v>
      </c>
      <c r="D105" s="33">
        <f t="shared" si="30"/>
        <v>0</v>
      </c>
      <c r="E105" s="33">
        <f t="shared" si="31"/>
        <v>0</v>
      </c>
      <c r="F105" s="33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</row>
    <row r="106" spans="1:20" s="27" customFormat="1" ht="16.5" hidden="1" x14ac:dyDescent="0.25">
      <c r="A106" s="63" t="s">
        <v>108</v>
      </c>
      <c r="B106" s="58" t="s">
        <v>109</v>
      </c>
      <c r="C106" s="51">
        <v>310</v>
      </c>
      <c r="D106" s="33">
        <f t="shared" si="30"/>
        <v>0</v>
      </c>
      <c r="E106" s="33">
        <f t="shared" si="31"/>
        <v>0</v>
      </c>
      <c r="F106" s="33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</row>
    <row r="107" spans="1:20" s="27" customFormat="1" ht="16.5" hidden="1" x14ac:dyDescent="0.25">
      <c r="A107" s="63" t="s">
        <v>110</v>
      </c>
      <c r="B107" s="58" t="s">
        <v>111</v>
      </c>
      <c r="C107" s="51">
        <v>226</v>
      </c>
      <c r="D107" s="33">
        <f t="shared" si="30"/>
        <v>0</v>
      </c>
      <c r="E107" s="33">
        <f t="shared" si="31"/>
        <v>0</v>
      </c>
      <c r="F107" s="33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</row>
    <row r="108" spans="1:20" s="27" customFormat="1" ht="16.5" x14ac:dyDescent="0.25">
      <c r="A108" s="63" t="s">
        <v>112</v>
      </c>
      <c r="B108" s="58" t="s">
        <v>113</v>
      </c>
      <c r="C108" s="51">
        <v>226</v>
      </c>
      <c r="D108" s="33">
        <f t="shared" si="30"/>
        <v>30000</v>
      </c>
      <c r="E108" s="33">
        <f t="shared" si="31"/>
        <v>0</v>
      </c>
      <c r="F108" s="33"/>
      <c r="G108" s="38">
        <f>60000-30000</f>
        <v>30000</v>
      </c>
      <c r="H108" s="38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</row>
    <row r="109" spans="1:20" s="27" customFormat="1" ht="33" hidden="1" x14ac:dyDescent="0.25">
      <c r="A109" s="63" t="s">
        <v>114</v>
      </c>
      <c r="B109" s="58" t="s">
        <v>115</v>
      </c>
      <c r="C109" s="51">
        <v>225</v>
      </c>
      <c r="D109" s="33">
        <f t="shared" si="30"/>
        <v>0</v>
      </c>
      <c r="E109" s="33">
        <f t="shared" si="31"/>
        <v>0</v>
      </c>
      <c r="F109" s="33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</row>
    <row r="110" spans="1:20" s="27" customFormat="1" ht="16.5" x14ac:dyDescent="0.25">
      <c r="A110" s="63" t="s">
        <v>116</v>
      </c>
      <c r="B110" s="58" t="s">
        <v>117</v>
      </c>
      <c r="C110" s="51">
        <v>225</v>
      </c>
      <c r="D110" s="33">
        <f t="shared" si="30"/>
        <v>1032504</v>
      </c>
      <c r="E110" s="33">
        <f t="shared" si="31"/>
        <v>0</v>
      </c>
      <c r="F110" s="33"/>
      <c r="G110" s="38">
        <v>1032504</v>
      </c>
      <c r="H110" s="38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</row>
    <row r="111" spans="1:20" s="27" customFormat="1" ht="16.5" hidden="1" x14ac:dyDescent="0.25">
      <c r="A111" s="63" t="s">
        <v>118</v>
      </c>
      <c r="B111" s="58" t="s">
        <v>119</v>
      </c>
      <c r="C111" s="51">
        <v>226</v>
      </c>
      <c r="D111" s="33">
        <f t="shared" si="30"/>
        <v>0</v>
      </c>
      <c r="E111" s="33">
        <f t="shared" si="31"/>
        <v>0</v>
      </c>
      <c r="F111" s="33"/>
      <c r="G111" s="38"/>
      <c r="H111" s="38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</row>
    <row r="112" spans="1:20" s="27" customFormat="1" ht="16.5" hidden="1" x14ac:dyDescent="0.25">
      <c r="A112" s="63" t="s">
        <v>118</v>
      </c>
      <c r="B112" s="58" t="s">
        <v>119</v>
      </c>
      <c r="C112" s="51">
        <v>340</v>
      </c>
      <c r="D112" s="33">
        <f t="shared" si="30"/>
        <v>0</v>
      </c>
      <c r="E112" s="33">
        <f t="shared" si="31"/>
        <v>0</v>
      </c>
      <c r="F112" s="33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</row>
    <row r="113" spans="1:20" s="27" customFormat="1" ht="16.5" hidden="1" x14ac:dyDescent="0.25">
      <c r="A113" s="63" t="s">
        <v>120</v>
      </c>
      <c r="B113" s="58" t="s">
        <v>121</v>
      </c>
      <c r="C113" s="51">
        <v>225</v>
      </c>
      <c r="D113" s="33">
        <f t="shared" si="30"/>
        <v>0</v>
      </c>
      <c r="E113" s="33">
        <f t="shared" si="31"/>
        <v>0</v>
      </c>
      <c r="F113" s="33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</row>
    <row r="114" spans="1:20" s="27" customFormat="1" ht="33" x14ac:dyDescent="0.25">
      <c r="A114" s="63" t="s">
        <v>122</v>
      </c>
      <c r="B114" s="58" t="s">
        <v>123</v>
      </c>
      <c r="C114" s="51">
        <v>225</v>
      </c>
      <c r="D114" s="33">
        <f t="shared" si="30"/>
        <v>400000</v>
      </c>
      <c r="E114" s="33">
        <f t="shared" si="31"/>
        <v>0</v>
      </c>
      <c r="F114" s="33"/>
      <c r="G114" s="38">
        <v>400000</v>
      </c>
      <c r="H114" s="38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</row>
    <row r="115" spans="1:20" s="27" customFormat="1" ht="33" hidden="1" x14ac:dyDescent="0.25">
      <c r="A115" s="63" t="s">
        <v>122</v>
      </c>
      <c r="B115" s="58" t="s">
        <v>123</v>
      </c>
      <c r="C115" s="51">
        <v>310</v>
      </c>
      <c r="D115" s="33">
        <f t="shared" si="30"/>
        <v>0</v>
      </c>
      <c r="E115" s="33">
        <f t="shared" si="31"/>
        <v>0</v>
      </c>
      <c r="F115" s="33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</row>
    <row r="116" spans="1:20" s="27" customFormat="1" ht="16.5" hidden="1" x14ac:dyDescent="0.25">
      <c r="A116" s="63" t="s">
        <v>124</v>
      </c>
      <c r="B116" s="58" t="s">
        <v>125</v>
      </c>
      <c r="C116" s="51">
        <v>225</v>
      </c>
      <c r="D116" s="33">
        <f t="shared" si="30"/>
        <v>0</v>
      </c>
      <c r="E116" s="33">
        <f t="shared" si="31"/>
        <v>0</v>
      </c>
      <c r="F116" s="33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</row>
    <row r="117" spans="1:20" s="29" customFormat="1" ht="16.5" hidden="1" x14ac:dyDescent="0.25">
      <c r="A117" s="63" t="s">
        <v>126</v>
      </c>
      <c r="B117" s="28" t="s">
        <v>127</v>
      </c>
      <c r="C117" s="51">
        <v>226</v>
      </c>
      <c r="D117" s="33">
        <f t="shared" si="30"/>
        <v>0</v>
      </c>
      <c r="E117" s="33">
        <f t="shared" si="31"/>
        <v>0</v>
      </c>
      <c r="F117" s="33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</row>
    <row r="118" spans="1:20" s="18" customFormat="1" ht="17.25" hidden="1" x14ac:dyDescent="0.25">
      <c r="A118" s="61" t="s">
        <v>128</v>
      </c>
      <c r="B118" s="62" t="s">
        <v>129</v>
      </c>
      <c r="C118" s="49"/>
      <c r="D118" s="33">
        <f t="shared" si="30"/>
        <v>0</v>
      </c>
      <c r="E118" s="33">
        <f t="shared" si="31"/>
        <v>0</v>
      </c>
      <c r="F118" s="33"/>
      <c r="G118" s="34">
        <f t="shared" ref="G118:S118" si="43">SUM(G119:G122)</f>
        <v>0</v>
      </c>
      <c r="H118" s="34"/>
      <c r="I118" s="34">
        <f t="shared" si="43"/>
        <v>0</v>
      </c>
      <c r="J118" s="34"/>
      <c r="K118" s="34">
        <f t="shared" si="43"/>
        <v>0</v>
      </c>
      <c r="L118" s="34"/>
      <c r="M118" s="34">
        <f t="shared" si="43"/>
        <v>0</v>
      </c>
      <c r="N118" s="34"/>
      <c r="O118" s="34">
        <f t="shared" si="43"/>
        <v>0</v>
      </c>
      <c r="P118" s="34"/>
      <c r="Q118" s="34"/>
      <c r="R118" s="34"/>
      <c r="S118" s="34">
        <f t="shared" si="43"/>
        <v>0</v>
      </c>
      <c r="T118" s="34">
        <f t="shared" ref="T118" si="44">SUM(T119:T122)</f>
        <v>0</v>
      </c>
    </row>
    <row r="119" spans="1:20" s="27" customFormat="1" ht="16.5" hidden="1" x14ac:dyDescent="0.25">
      <c r="A119" s="63" t="s">
        <v>130</v>
      </c>
      <c r="B119" s="58" t="s">
        <v>131</v>
      </c>
      <c r="C119" s="51">
        <v>310</v>
      </c>
      <c r="D119" s="33">
        <f t="shared" si="30"/>
        <v>0</v>
      </c>
      <c r="E119" s="33">
        <f t="shared" si="31"/>
        <v>0</v>
      </c>
      <c r="F119" s="33"/>
      <c r="G119" s="21"/>
      <c r="H119" s="21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21"/>
      <c r="T119" s="21"/>
    </row>
    <row r="120" spans="1:20" s="27" customFormat="1" ht="33" hidden="1" x14ac:dyDescent="0.25">
      <c r="A120" s="63" t="s">
        <v>132</v>
      </c>
      <c r="B120" s="58" t="s">
        <v>133</v>
      </c>
      <c r="C120" s="51">
        <v>310</v>
      </c>
      <c r="D120" s="33">
        <f t="shared" si="30"/>
        <v>0</v>
      </c>
      <c r="E120" s="33">
        <f t="shared" si="31"/>
        <v>0</v>
      </c>
      <c r="F120" s="33"/>
      <c r="G120" s="21"/>
      <c r="H120" s="21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21"/>
      <c r="T120" s="21"/>
    </row>
    <row r="121" spans="1:20" s="27" customFormat="1" ht="16.5" hidden="1" x14ac:dyDescent="0.25">
      <c r="A121" s="63" t="s">
        <v>134</v>
      </c>
      <c r="B121" s="58" t="s">
        <v>135</v>
      </c>
      <c r="C121" s="51">
        <v>310</v>
      </c>
      <c r="D121" s="33">
        <f t="shared" si="30"/>
        <v>0</v>
      </c>
      <c r="E121" s="33">
        <f t="shared" si="31"/>
        <v>0</v>
      </c>
      <c r="F121" s="33"/>
      <c r="G121" s="21"/>
      <c r="H121" s="21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21"/>
      <c r="T121" s="21"/>
    </row>
    <row r="122" spans="1:20" s="27" customFormat="1" ht="16.5" hidden="1" x14ac:dyDescent="0.25">
      <c r="A122" s="63" t="s">
        <v>136</v>
      </c>
      <c r="B122" s="58" t="s">
        <v>137</v>
      </c>
      <c r="C122" s="51">
        <v>226</v>
      </c>
      <c r="D122" s="33">
        <f t="shared" si="30"/>
        <v>0</v>
      </c>
      <c r="E122" s="33">
        <f t="shared" si="31"/>
        <v>0</v>
      </c>
      <c r="F122" s="33"/>
      <c r="G122" s="21"/>
      <c r="H122" s="21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21"/>
      <c r="T122" s="21"/>
    </row>
    <row r="123" spans="1:20" s="18" customFormat="1" ht="34.5" x14ac:dyDescent="0.25">
      <c r="A123" s="61" t="s">
        <v>287</v>
      </c>
      <c r="B123" s="62" t="s">
        <v>288</v>
      </c>
      <c r="C123" s="49"/>
      <c r="D123" s="34">
        <f t="shared" ref="D123:P123" si="45">SUM(D126:D128)</f>
        <v>245.78</v>
      </c>
      <c r="E123" s="34">
        <f t="shared" si="45"/>
        <v>0</v>
      </c>
      <c r="F123" s="34"/>
      <c r="G123" s="34">
        <f t="shared" si="45"/>
        <v>0</v>
      </c>
      <c r="H123" s="34">
        <f t="shared" si="45"/>
        <v>0</v>
      </c>
      <c r="I123" s="34">
        <f t="shared" si="45"/>
        <v>0</v>
      </c>
      <c r="J123" s="34">
        <f t="shared" si="45"/>
        <v>0</v>
      </c>
      <c r="K123" s="34">
        <f t="shared" si="45"/>
        <v>0</v>
      </c>
      <c r="L123" s="34">
        <f t="shared" si="45"/>
        <v>0</v>
      </c>
      <c r="M123" s="34">
        <f t="shared" si="45"/>
        <v>0</v>
      </c>
      <c r="N123" s="34">
        <f t="shared" si="45"/>
        <v>0</v>
      </c>
      <c r="O123" s="34">
        <f t="shared" si="45"/>
        <v>0</v>
      </c>
      <c r="P123" s="34">
        <f t="shared" si="45"/>
        <v>0</v>
      </c>
      <c r="Q123" s="34">
        <f>SUM(Q126:Q128)</f>
        <v>245.78</v>
      </c>
      <c r="R123" s="34">
        <f t="shared" ref="R123:T123" si="46">SUM(R126:R128)</f>
        <v>0</v>
      </c>
      <c r="S123" s="34">
        <f t="shared" si="46"/>
        <v>0</v>
      </c>
      <c r="T123" s="34">
        <f t="shared" si="46"/>
        <v>0</v>
      </c>
    </row>
    <row r="124" spans="1:20" s="27" customFormat="1" ht="17.25" x14ac:dyDescent="0.25">
      <c r="A124" s="75"/>
      <c r="B124" s="76"/>
      <c r="C124" s="77"/>
      <c r="D124" s="33">
        <f t="shared" si="30"/>
        <v>0</v>
      </c>
      <c r="E124" s="33">
        <f t="shared" si="31"/>
        <v>0</v>
      </c>
      <c r="F124" s="33"/>
      <c r="G124" s="78"/>
      <c r="H124" s="78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78"/>
      <c r="T124" s="78"/>
    </row>
    <row r="125" spans="1:20" s="27" customFormat="1" ht="17.25" x14ac:dyDescent="0.25">
      <c r="A125" s="75"/>
      <c r="B125" s="76"/>
      <c r="C125" s="77"/>
      <c r="D125" s="33"/>
      <c r="E125" s="33"/>
      <c r="F125" s="33"/>
      <c r="G125" s="78"/>
      <c r="H125" s="78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78"/>
      <c r="T125" s="78"/>
    </row>
    <row r="126" spans="1:20" s="27" customFormat="1" ht="16.5" x14ac:dyDescent="0.25">
      <c r="A126" s="63" t="s">
        <v>289</v>
      </c>
      <c r="B126" s="58" t="s">
        <v>290</v>
      </c>
      <c r="C126" s="51">
        <v>310</v>
      </c>
      <c r="D126" s="33">
        <f t="shared" si="30"/>
        <v>5.04</v>
      </c>
      <c r="E126" s="33">
        <f t="shared" si="31"/>
        <v>0</v>
      </c>
      <c r="F126" s="33"/>
      <c r="G126" s="21"/>
      <c r="H126" s="21"/>
      <c r="I126" s="19"/>
      <c r="J126" s="19"/>
      <c r="K126" s="19"/>
      <c r="L126" s="19"/>
      <c r="M126" s="19"/>
      <c r="N126" s="19"/>
      <c r="O126" s="19"/>
      <c r="P126" s="19"/>
      <c r="Q126" s="33">
        <v>5.04</v>
      </c>
      <c r="R126" s="33"/>
      <c r="S126" s="21"/>
      <c r="T126" s="21"/>
    </row>
    <row r="127" spans="1:20" s="27" customFormat="1" ht="16.5" x14ac:dyDescent="0.25">
      <c r="A127" s="63"/>
      <c r="B127" s="58"/>
      <c r="C127" s="51"/>
      <c r="D127" s="33"/>
      <c r="E127" s="33"/>
      <c r="F127" s="33"/>
      <c r="G127" s="21"/>
      <c r="H127" s="21"/>
      <c r="I127" s="19"/>
      <c r="J127" s="19"/>
      <c r="K127" s="19"/>
      <c r="L127" s="19"/>
      <c r="M127" s="19"/>
      <c r="N127" s="19"/>
      <c r="O127" s="19"/>
      <c r="P127" s="19"/>
      <c r="Q127" s="33"/>
      <c r="R127" s="33"/>
      <c r="S127" s="21"/>
      <c r="T127" s="21"/>
    </row>
    <row r="128" spans="1:20" s="27" customFormat="1" ht="16.5" x14ac:dyDescent="0.25">
      <c r="A128" s="63" t="s">
        <v>289</v>
      </c>
      <c r="B128" s="58" t="s">
        <v>290</v>
      </c>
      <c r="C128" s="51">
        <v>212</v>
      </c>
      <c r="D128" s="33">
        <f t="shared" si="30"/>
        <v>240.74</v>
      </c>
      <c r="E128" s="33">
        <f t="shared" si="31"/>
        <v>0</v>
      </c>
      <c r="F128" s="33"/>
      <c r="G128" s="21"/>
      <c r="H128" s="21"/>
      <c r="I128" s="19"/>
      <c r="J128" s="19"/>
      <c r="K128" s="19"/>
      <c r="L128" s="19"/>
      <c r="M128" s="19"/>
      <c r="N128" s="19"/>
      <c r="O128" s="19"/>
      <c r="P128" s="19"/>
      <c r="Q128" s="33">
        <v>240.74</v>
      </c>
      <c r="R128" s="33"/>
      <c r="S128" s="21"/>
      <c r="T128" s="21"/>
    </row>
    <row r="129" spans="1:20" s="18" customFormat="1" ht="34.5" x14ac:dyDescent="0.25">
      <c r="A129" s="65" t="s">
        <v>138</v>
      </c>
      <c r="B129" s="66" t="s">
        <v>139</v>
      </c>
      <c r="C129" s="67"/>
      <c r="D129" s="33">
        <f t="shared" si="30"/>
        <v>0</v>
      </c>
      <c r="E129" s="33">
        <f t="shared" si="31"/>
        <v>0</v>
      </c>
      <c r="F129" s="33"/>
      <c r="G129" s="34">
        <f t="shared" ref="G129:T129" si="47">SUM(G130:G130)</f>
        <v>0</v>
      </c>
      <c r="H129" s="34"/>
      <c r="I129" s="34">
        <f t="shared" si="47"/>
        <v>0</v>
      </c>
      <c r="J129" s="34"/>
      <c r="K129" s="34">
        <f t="shared" si="47"/>
        <v>0</v>
      </c>
      <c r="L129" s="34"/>
      <c r="M129" s="34">
        <f t="shared" si="47"/>
        <v>0</v>
      </c>
      <c r="N129" s="34"/>
      <c r="O129" s="34">
        <f t="shared" si="47"/>
        <v>0</v>
      </c>
      <c r="P129" s="34"/>
      <c r="Q129" s="34"/>
      <c r="R129" s="34"/>
      <c r="S129" s="34">
        <f t="shared" si="47"/>
        <v>0</v>
      </c>
      <c r="T129" s="34">
        <f t="shared" si="47"/>
        <v>0</v>
      </c>
    </row>
    <row r="130" spans="1:20" s="29" customFormat="1" ht="16.5" x14ac:dyDescent="0.25">
      <c r="A130" s="68"/>
      <c r="B130" s="64" t="s">
        <v>140</v>
      </c>
      <c r="C130" s="69">
        <v>226</v>
      </c>
      <c r="D130" s="33">
        <f t="shared" si="30"/>
        <v>0</v>
      </c>
      <c r="E130" s="33">
        <f t="shared" si="31"/>
        <v>0</v>
      </c>
      <c r="F130" s="33"/>
      <c r="G130" s="21"/>
      <c r="H130" s="21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21"/>
      <c r="T130" s="21"/>
    </row>
    <row r="131" spans="1:20" s="29" customFormat="1" ht="16.5" x14ac:dyDescent="0.25">
      <c r="A131" s="68"/>
      <c r="B131" s="64"/>
      <c r="C131" s="69"/>
      <c r="D131" s="33"/>
      <c r="E131" s="33"/>
      <c r="F131" s="33"/>
      <c r="G131" s="21"/>
      <c r="H131" s="21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21"/>
      <c r="T131" s="21"/>
    </row>
    <row r="132" spans="1:20" s="29" customFormat="1" ht="16.5" x14ac:dyDescent="0.25">
      <c r="A132" s="68"/>
      <c r="B132" s="64"/>
      <c r="C132" s="69"/>
      <c r="D132" s="33"/>
      <c r="E132" s="33"/>
      <c r="F132" s="33"/>
      <c r="G132" s="21"/>
      <c r="H132" s="21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21"/>
      <c r="T132" s="21"/>
    </row>
    <row r="133" spans="1:20" s="29" customFormat="1" ht="16.5" x14ac:dyDescent="0.25">
      <c r="A133" s="68"/>
      <c r="B133" s="64"/>
      <c r="C133" s="69"/>
      <c r="D133" s="33"/>
      <c r="E133" s="33"/>
      <c r="F133" s="33"/>
      <c r="G133" s="21"/>
      <c r="H133" s="21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21"/>
      <c r="T133" s="21"/>
    </row>
    <row r="134" spans="1:20" s="29" customFormat="1" ht="16.5" x14ac:dyDescent="0.25">
      <c r="A134" s="68"/>
      <c r="B134" s="64"/>
      <c r="C134" s="69"/>
      <c r="D134" s="33"/>
      <c r="E134" s="33"/>
      <c r="F134" s="33"/>
      <c r="G134" s="21"/>
      <c r="H134" s="21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21"/>
      <c r="T134" s="21"/>
    </row>
    <row r="135" spans="1:20" s="18" customFormat="1" ht="34.5" x14ac:dyDescent="0.25">
      <c r="A135" s="61" t="s">
        <v>141</v>
      </c>
      <c r="B135" s="62" t="s">
        <v>142</v>
      </c>
      <c r="C135" s="49"/>
      <c r="D135" s="34">
        <f t="shared" ref="D135:T135" si="48">SUM(D136:D164)</f>
        <v>1820800</v>
      </c>
      <c r="E135" s="34">
        <f t="shared" si="48"/>
        <v>698000</v>
      </c>
      <c r="F135" s="34"/>
      <c r="G135" s="34">
        <f t="shared" si="48"/>
        <v>1820800</v>
      </c>
      <c r="H135" s="34">
        <f t="shared" si="48"/>
        <v>698000</v>
      </c>
      <c r="I135" s="34">
        <f t="shared" si="48"/>
        <v>0</v>
      </c>
      <c r="J135" s="34">
        <f t="shared" si="48"/>
        <v>0</v>
      </c>
      <c r="K135" s="34">
        <f t="shared" si="48"/>
        <v>0</v>
      </c>
      <c r="L135" s="34">
        <f t="shared" si="48"/>
        <v>0</v>
      </c>
      <c r="M135" s="34">
        <f t="shared" si="48"/>
        <v>0</v>
      </c>
      <c r="N135" s="34">
        <f t="shared" si="48"/>
        <v>0</v>
      </c>
      <c r="O135" s="34">
        <f t="shared" si="48"/>
        <v>0</v>
      </c>
      <c r="P135" s="34">
        <f t="shared" si="48"/>
        <v>0</v>
      </c>
      <c r="Q135" s="34">
        <f t="shared" si="48"/>
        <v>0</v>
      </c>
      <c r="R135" s="34">
        <f t="shared" si="48"/>
        <v>0</v>
      </c>
      <c r="S135" s="34">
        <f t="shared" si="48"/>
        <v>0</v>
      </c>
      <c r="T135" s="34">
        <f t="shared" si="48"/>
        <v>0</v>
      </c>
    </row>
    <row r="136" spans="1:20" s="29" customFormat="1" ht="16.5" hidden="1" x14ac:dyDescent="0.25">
      <c r="A136" s="63" t="s">
        <v>143</v>
      </c>
      <c r="B136" s="58" t="s">
        <v>144</v>
      </c>
      <c r="C136" s="51">
        <v>226</v>
      </c>
      <c r="D136" s="33">
        <f t="shared" si="30"/>
        <v>0</v>
      </c>
      <c r="E136" s="33">
        <f t="shared" si="31"/>
        <v>0</v>
      </c>
      <c r="F136" s="33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</row>
    <row r="137" spans="1:20" s="6" customFormat="1" ht="16.5" hidden="1" x14ac:dyDescent="0.25">
      <c r="A137" s="63" t="s">
        <v>143</v>
      </c>
      <c r="B137" s="58" t="s">
        <v>144</v>
      </c>
      <c r="C137" s="51">
        <v>310</v>
      </c>
      <c r="D137" s="33">
        <f t="shared" si="30"/>
        <v>0</v>
      </c>
      <c r="E137" s="33">
        <f t="shared" si="31"/>
        <v>0</v>
      </c>
      <c r="F137" s="33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</row>
    <row r="138" spans="1:20" s="6" customFormat="1" ht="33" hidden="1" x14ac:dyDescent="0.25">
      <c r="A138" s="63" t="s">
        <v>145</v>
      </c>
      <c r="B138" s="58" t="s">
        <v>146</v>
      </c>
      <c r="C138" s="51">
        <v>226</v>
      </c>
      <c r="D138" s="33">
        <f t="shared" si="30"/>
        <v>0</v>
      </c>
      <c r="E138" s="33">
        <f t="shared" si="31"/>
        <v>0</v>
      </c>
      <c r="F138" s="33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</row>
    <row r="139" spans="1:20" s="6" customFormat="1" ht="33" x14ac:dyDescent="0.25">
      <c r="A139" s="63" t="s">
        <v>145</v>
      </c>
      <c r="B139" s="58" t="s">
        <v>146</v>
      </c>
      <c r="C139" s="51">
        <v>310</v>
      </c>
      <c r="D139" s="33">
        <f t="shared" si="30"/>
        <v>0</v>
      </c>
      <c r="E139" s="33">
        <f t="shared" si="31"/>
        <v>0</v>
      </c>
      <c r="F139" s="33"/>
      <c r="G139" s="38">
        <f>10428231.7-5000000-931000-2000000-2497231.7</f>
        <v>0</v>
      </c>
      <c r="H139" s="38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</row>
    <row r="140" spans="1:20" s="6" customFormat="1" ht="16.5" hidden="1" x14ac:dyDescent="0.25">
      <c r="A140" s="63" t="s">
        <v>147</v>
      </c>
      <c r="B140" s="58" t="s">
        <v>148</v>
      </c>
      <c r="C140" s="51">
        <v>310</v>
      </c>
      <c r="D140" s="33">
        <f t="shared" si="30"/>
        <v>0</v>
      </c>
      <c r="E140" s="33">
        <f t="shared" si="31"/>
        <v>0</v>
      </c>
      <c r="F140" s="33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</row>
    <row r="141" spans="1:20" s="6" customFormat="1" ht="33" hidden="1" x14ac:dyDescent="0.25">
      <c r="A141" s="63" t="s">
        <v>149</v>
      </c>
      <c r="B141" s="58" t="s">
        <v>150</v>
      </c>
      <c r="C141" s="51">
        <v>310</v>
      </c>
      <c r="D141" s="33">
        <f t="shared" si="30"/>
        <v>0</v>
      </c>
      <c r="E141" s="33">
        <f t="shared" si="31"/>
        <v>0</v>
      </c>
      <c r="F141" s="33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</row>
    <row r="142" spans="1:20" s="6" customFormat="1" ht="33" hidden="1" x14ac:dyDescent="0.25">
      <c r="A142" s="63" t="s">
        <v>151</v>
      </c>
      <c r="B142" s="58" t="s">
        <v>152</v>
      </c>
      <c r="C142" s="51">
        <v>310</v>
      </c>
      <c r="D142" s="33">
        <f t="shared" si="30"/>
        <v>0</v>
      </c>
      <c r="E142" s="33">
        <f t="shared" si="31"/>
        <v>0</v>
      </c>
      <c r="F142" s="33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</row>
    <row r="143" spans="1:20" s="6" customFormat="1" ht="49.5" hidden="1" x14ac:dyDescent="0.25">
      <c r="A143" s="63" t="s">
        <v>153</v>
      </c>
      <c r="B143" s="28" t="s">
        <v>154</v>
      </c>
      <c r="C143" s="51">
        <v>226</v>
      </c>
      <c r="D143" s="33">
        <f t="shared" si="30"/>
        <v>0</v>
      </c>
      <c r="E143" s="33">
        <f t="shared" si="31"/>
        <v>0</v>
      </c>
      <c r="F143" s="33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</row>
    <row r="144" spans="1:20" s="6" customFormat="1" ht="16.5" hidden="1" x14ac:dyDescent="0.25">
      <c r="A144" s="63" t="s">
        <v>155</v>
      </c>
      <c r="B144" s="28" t="s">
        <v>156</v>
      </c>
      <c r="C144" s="51">
        <v>226</v>
      </c>
      <c r="D144" s="33">
        <f t="shared" si="30"/>
        <v>0</v>
      </c>
      <c r="E144" s="33">
        <f t="shared" si="31"/>
        <v>0</v>
      </c>
      <c r="F144" s="33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</row>
    <row r="145" spans="1:20" s="6" customFormat="1" ht="16.5" hidden="1" x14ac:dyDescent="0.25">
      <c r="A145" s="63" t="s">
        <v>155</v>
      </c>
      <c r="B145" s="28" t="s">
        <v>157</v>
      </c>
      <c r="C145" s="51">
        <v>310</v>
      </c>
      <c r="D145" s="33">
        <f t="shared" si="30"/>
        <v>0</v>
      </c>
      <c r="E145" s="33">
        <f t="shared" si="31"/>
        <v>0</v>
      </c>
      <c r="F145" s="33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</row>
    <row r="146" spans="1:20" s="6" customFormat="1" ht="16.5" hidden="1" x14ac:dyDescent="0.25">
      <c r="A146" s="63" t="s">
        <v>155</v>
      </c>
      <c r="B146" s="28" t="s">
        <v>157</v>
      </c>
      <c r="C146" s="51">
        <v>340</v>
      </c>
      <c r="D146" s="33">
        <f t="shared" si="30"/>
        <v>0</v>
      </c>
      <c r="E146" s="33">
        <f t="shared" si="31"/>
        <v>0</v>
      </c>
      <c r="F146" s="33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</row>
    <row r="147" spans="1:20" s="6" customFormat="1" ht="16.5" hidden="1" x14ac:dyDescent="0.25">
      <c r="A147" s="63" t="s">
        <v>158</v>
      </c>
      <c r="B147" s="28" t="s">
        <v>159</v>
      </c>
      <c r="C147" s="51">
        <v>226</v>
      </c>
      <c r="D147" s="33">
        <f t="shared" si="30"/>
        <v>0</v>
      </c>
      <c r="E147" s="33">
        <f t="shared" si="31"/>
        <v>0</v>
      </c>
      <c r="F147" s="33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</row>
    <row r="148" spans="1:20" s="6" customFormat="1" ht="49.5" x14ac:dyDescent="0.25">
      <c r="A148" s="63" t="s">
        <v>160</v>
      </c>
      <c r="B148" s="28" t="s">
        <v>284</v>
      </c>
      <c r="C148" s="51">
        <v>226</v>
      </c>
      <c r="D148" s="33">
        <f t="shared" si="30"/>
        <v>68000</v>
      </c>
      <c r="E148" s="33">
        <f t="shared" si="31"/>
        <v>8000</v>
      </c>
      <c r="F148" s="33"/>
      <c r="G148" s="38">
        <v>68000</v>
      </c>
      <c r="H148" s="38">
        <v>8000</v>
      </c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</row>
    <row r="149" spans="1:20" s="6" customFormat="1" ht="33" hidden="1" x14ac:dyDescent="0.25">
      <c r="A149" s="63" t="s">
        <v>162</v>
      </c>
      <c r="B149" s="28" t="s">
        <v>163</v>
      </c>
      <c r="C149" s="51">
        <v>226</v>
      </c>
      <c r="D149" s="33">
        <f t="shared" si="30"/>
        <v>0</v>
      </c>
      <c r="E149" s="33">
        <f t="shared" si="31"/>
        <v>0</v>
      </c>
      <c r="F149" s="33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</row>
    <row r="150" spans="1:20" s="6" customFormat="1" ht="16.5" hidden="1" x14ac:dyDescent="0.25">
      <c r="A150" s="63" t="s">
        <v>164</v>
      </c>
      <c r="B150" s="28" t="s">
        <v>165</v>
      </c>
      <c r="C150" s="51">
        <v>310</v>
      </c>
      <c r="D150" s="33">
        <f t="shared" si="30"/>
        <v>0</v>
      </c>
      <c r="E150" s="33">
        <f t="shared" si="31"/>
        <v>0</v>
      </c>
      <c r="F150" s="33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</row>
    <row r="151" spans="1:20" s="6" customFormat="1" ht="49.5" hidden="1" x14ac:dyDescent="0.25">
      <c r="A151" s="63" t="s">
        <v>166</v>
      </c>
      <c r="B151" s="28" t="s">
        <v>167</v>
      </c>
      <c r="C151" s="51">
        <v>226</v>
      </c>
      <c r="D151" s="33">
        <f t="shared" si="30"/>
        <v>0</v>
      </c>
      <c r="E151" s="33">
        <f t="shared" si="31"/>
        <v>0</v>
      </c>
      <c r="F151" s="33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</row>
    <row r="152" spans="1:20" s="6" customFormat="1" ht="49.5" hidden="1" x14ac:dyDescent="0.25">
      <c r="A152" s="63" t="s">
        <v>166</v>
      </c>
      <c r="B152" s="28" t="s">
        <v>167</v>
      </c>
      <c r="C152" s="51">
        <v>310</v>
      </c>
      <c r="D152" s="33">
        <f t="shared" ref="D152:D215" si="49">SUM(G152+I152+K152+M152+O152+Q152+S152)</f>
        <v>0</v>
      </c>
      <c r="E152" s="33">
        <f t="shared" ref="E152:E215" si="50">SUM(H152+J152+L152+N152+P152+R152+T152)</f>
        <v>0</v>
      </c>
      <c r="F152" s="33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</row>
    <row r="153" spans="1:20" s="6" customFormat="1" ht="33" hidden="1" x14ac:dyDescent="0.25">
      <c r="A153" s="63" t="s">
        <v>168</v>
      </c>
      <c r="B153" s="28" t="s">
        <v>169</v>
      </c>
      <c r="C153" s="51">
        <v>226</v>
      </c>
      <c r="D153" s="33">
        <f t="shared" si="49"/>
        <v>0</v>
      </c>
      <c r="E153" s="33">
        <f t="shared" si="50"/>
        <v>0</v>
      </c>
      <c r="F153" s="33"/>
      <c r="G153" s="38"/>
      <c r="H153" s="38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</row>
    <row r="154" spans="1:20" s="6" customFormat="1" ht="33" hidden="1" x14ac:dyDescent="0.25">
      <c r="A154" s="63" t="s">
        <v>168</v>
      </c>
      <c r="B154" s="28" t="s">
        <v>169</v>
      </c>
      <c r="C154" s="51">
        <v>310</v>
      </c>
      <c r="D154" s="33">
        <f t="shared" si="49"/>
        <v>0</v>
      </c>
      <c r="E154" s="33">
        <f t="shared" si="50"/>
        <v>0</v>
      </c>
      <c r="F154" s="33"/>
      <c r="G154" s="38"/>
      <c r="H154" s="38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</row>
    <row r="155" spans="1:20" s="6" customFormat="1" ht="33" x14ac:dyDescent="0.25">
      <c r="A155" s="63" t="s">
        <v>170</v>
      </c>
      <c r="B155" s="28" t="s">
        <v>171</v>
      </c>
      <c r="C155" s="51">
        <v>226</v>
      </c>
      <c r="D155" s="33">
        <f t="shared" si="49"/>
        <v>787800</v>
      </c>
      <c r="E155" s="33">
        <f t="shared" si="50"/>
        <v>690000</v>
      </c>
      <c r="F155" s="33"/>
      <c r="G155" s="38">
        <f>856800-69000</f>
        <v>787800</v>
      </c>
      <c r="H155" s="38">
        <v>690000</v>
      </c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</row>
    <row r="156" spans="1:20" s="6" customFormat="1" ht="33" x14ac:dyDescent="0.25">
      <c r="A156" s="63" t="s">
        <v>170</v>
      </c>
      <c r="B156" s="28" t="s">
        <v>171</v>
      </c>
      <c r="C156" s="51">
        <v>310</v>
      </c>
      <c r="D156" s="33">
        <f t="shared" si="49"/>
        <v>206000</v>
      </c>
      <c r="E156" s="33">
        <f t="shared" si="50"/>
        <v>0</v>
      </c>
      <c r="F156" s="33"/>
      <c r="G156" s="38">
        <v>206000</v>
      </c>
      <c r="H156" s="38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</row>
    <row r="157" spans="1:20" s="6" customFormat="1" ht="33" x14ac:dyDescent="0.25">
      <c r="A157" s="63" t="s">
        <v>172</v>
      </c>
      <c r="B157" s="28" t="s">
        <v>173</v>
      </c>
      <c r="C157" s="51">
        <v>226</v>
      </c>
      <c r="D157" s="33">
        <f t="shared" si="49"/>
        <v>759000</v>
      </c>
      <c r="E157" s="33">
        <f t="shared" si="50"/>
        <v>0</v>
      </c>
      <c r="F157" s="33"/>
      <c r="G157" s="38">
        <v>759000</v>
      </c>
      <c r="H157" s="38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</row>
    <row r="158" spans="1:20" s="6" customFormat="1" ht="33" hidden="1" x14ac:dyDescent="0.25">
      <c r="A158" s="63" t="s">
        <v>172</v>
      </c>
      <c r="B158" s="28" t="s">
        <v>174</v>
      </c>
      <c r="C158" s="51">
        <v>310</v>
      </c>
      <c r="D158" s="33">
        <f t="shared" si="49"/>
        <v>0</v>
      </c>
      <c r="E158" s="33">
        <f t="shared" si="50"/>
        <v>0</v>
      </c>
      <c r="F158" s="33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</row>
    <row r="159" spans="1:20" s="6" customFormat="1" ht="33" hidden="1" x14ac:dyDescent="0.25">
      <c r="A159" s="63" t="s">
        <v>175</v>
      </c>
      <c r="B159" s="28" t="s">
        <v>176</v>
      </c>
      <c r="C159" s="51">
        <v>226</v>
      </c>
      <c r="D159" s="33">
        <f t="shared" si="49"/>
        <v>0</v>
      </c>
      <c r="E159" s="33">
        <f t="shared" si="50"/>
        <v>0</v>
      </c>
      <c r="F159" s="33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</row>
    <row r="160" spans="1:20" s="6" customFormat="1" ht="16.5" hidden="1" x14ac:dyDescent="0.25">
      <c r="A160" s="63" t="s">
        <v>177</v>
      </c>
      <c r="B160" s="28" t="s">
        <v>178</v>
      </c>
      <c r="C160" s="51">
        <v>310</v>
      </c>
      <c r="D160" s="33">
        <f t="shared" si="49"/>
        <v>0</v>
      </c>
      <c r="E160" s="33">
        <f t="shared" si="50"/>
        <v>0</v>
      </c>
      <c r="F160" s="33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</row>
    <row r="161" spans="1:20" s="6" customFormat="1" ht="33" hidden="1" x14ac:dyDescent="0.25">
      <c r="A161" s="63" t="s">
        <v>179</v>
      </c>
      <c r="B161" s="28" t="s">
        <v>180</v>
      </c>
      <c r="C161" s="51">
        <v>226</v>
      </c>
      <c r="D161" s="33">
        <f t="shared" si="49"/>
        <v>0</v>
      </c>
      <c r="E161" s="33">
        <f t="shared" si="50"/>
        <v>0</v>
      </c>
      <c r="F161" s="33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</row>
    <row r="162" spans="1:20" s="6" customFormat="1" ht="33" hidden="1" x14ac:dyDescent="0.25">
      <c r="A162" s="63" t="s">
        <v>181</v>
      </c>
      <c r="B162" s="28" t="s">
        <v>182</v>
      </c>
      <c r="C162" s="51">
        <v>226</v>
      </c>
      <c r="D162" s="33">
        <f t="shared" si="49"/>
        <v>0</v>
      </c>
      <c r="E162" s="33">
        <f t="shared" si="50"/>
        <v>0</v>
      </c>
      <c r="F162" s="33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</row>
    <row r="163" spans="1:20" s="6" customFormat="1" ht="33" hidden="1" x14ac:dyDescent="0.25">
      <c r="A163" s="63" t="s">
        <v>183</v>
      </c>
      <c r="B163" s="28" t="s">
        <v>184</v>
      </c>
      <c r="C163" s="51">
        <v>310</v>
      </c>
      <c r="D163" s="33">
        <f t="shared" si="49"/>
        <v>0</v>
      </c>
      <c r="E163" s="33">
        <f t="shared" si="50"/>
        <v>0</v>
      </c>
      <c r="F163" s="33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</row>
    <row r="164" spans="1:20" s="6" customFormat="1" ht="16.5" hidden="1" x14ac:dyDescent="0.25">
      <c r="A164" s="63" t="s">
        <v>185</v>
      </c>
      <c r="B164" s="28" t="s">
        <v>186</v>
      </c>
      <c r="C164" s="51">
        <v>310</v>
      </c>
      <c r="D164" s="33">
        <f t="shared" si="49"/>
        <v>0</v>
      </c>
      <c r="E164" s="33">
        <f t="shared" si="50"/>
        <v>0</v>
      </c>
      <c r="F164" s="33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</row>
    <row r="165" spans="1:20" s="20" customFormat="1" ht="51.75" hidden="1" x14ac:dyDescent="0.25">
      <c r="A165" s="59" t="s">
        <v>29</v>
      </c>
      <c r="B165" s="48" t="s">
        <v>44</v>
      </c>
      <c r="C165" s="54"/>
      <c r="D165" s="33">
        <f t="shared" si="49"/>
        <v>0</v>
      </c>
      <c r="E165" s="33">
        <f t="shared" si="50"/>
        <v>0</v>
      </c>
      <c r="F165" s="33"/>
      <c r="G165" s="25">
        <f t="shared" ref="G165:T165" si="51">SUM(G166)</f>
        <v>0</v>
      </c>
      <c r="H165" s="25"/>
      <c r="I165" s="25">
        <f t="shared" si="51"/>
        <v>0</v>
      </c>
      <c r="J165" s="25"/>
      <c r="K165" s="25">
        <f t="shared" si="51"/>
        <v>0</v>
      </c>
      <c r="L165" s="25"/>
      <c r="M165" s="25">
        <f t="shared" si="51"/>
        <v>0</v>
      </c>
      <c r="N165" s="25"/>
      <c r="O165" s="25">
        <f t="shared" si="51"/>
        <v>0</v>
      </c>
      <c r="P165" s="25"/>
      <c r="Q165" s="25"/>
      <c r="R165" s="25"/>
      <c r="S165" s="25">
        <f t="shared" si="51"/>
        <v>0</v>
      </c>
      <c r="T165" s="25">
        <f t="shared" si="51"/>
        <v>0</v>
      </c>
    </row>
    <row r="166" spans="1:20" s="22" customFormat="1" ht="33" hidden="1" x14ac:dyDescent="0.25">
      <c r="A166" s="52" t="s">
        <v>187</v>
      </c>
      <c r="B166" s="28" t="s">
        <v>188</v>
      </c>
      <c r="C166" s="55">
        <v>225</v>
      </c>
      <c r="D166" s="33">
        <f t="shared" si="49"/>
        <v>0</v>
      </c>
      <c r="E166" s="33">
        <f t="shared" si="50"/>
        <v>0</v>
      </c>
      <c r="F166" s="33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</row>
    <row r="167" spans="1:20" s="22" customFormat="1" ht="16.5" hidden="1" x14ac:dyDescent="0.25">
      <c r="A167" s="52"/>
      <c r="B167" s="28"/>
      <c r="C167" s="55"/>
      <c r="D167" s="33">
        <f t="shared" si="49"/>
        <v>0</v>
      </c>
      <c r="E167" s="33">
        <f t="shared" si="50"/>
        <v>0</v>
      </c>
      <c r="F167" s="33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</row>
    <row r="168" spans="1:20" s="30" customFormat="1" ht="67.5" x14ac:dyDescent="0.25">
      <c r="A168" s="53" t="s">
        <v>31</v>
      </c>
      <c r="B168" s="48" t="s">
        <v>292</v>
      </c>
      <c r="C168" s="70"/>
      <c r="D168" s="25">
        <f t="shared" ref="D168:T168" si="52">SUM(D169:D173)</f>
        <v>2240000</v>
      </c>
      <c r="E168" s="25">
        <f t="shared" si="52"/>
        <v>0</v>
      </c>
      <c r="F168" s="25"/>
      <c r="G168" s="25">
        <f t="shared" si="52"/>
        <v>2240000</v>
      </c>
      <c r="H168" s="25">
        <f t="shared" si="52"/>
        <v>0</v>
      </c>
      <c r="I168" s="25">
        <f t="shared" si="52"/>
        <v>0</v>
      </c>
      <c r="J168" s="25">
        <f t="shared" si="52"/>
        <v>0</v>
      </c>
      <c r="K168" s="25">
        <f t="shared" si="52"/>
        <v>0</v>
      </c>
      <c r="L168" s="25">
        <f t="shared" si="52"/>
        <v>0</v>
      </c>
      <c r="M168" s="25">
        <f t="shared" si="52"/>
        <v>0</v>
      </c>
      <c r="N168" s="25">
        <f t="shared" si="52"/>
        <v>0</v>
      </c>
      <c r="O168" s="25">
        <f t="shared" si="52"/>
        <v>0</v>
      </c>
      <c r="P168" s="25">
        <f t="shared" si="52"/>
        <v>0</v>
      </c>
      <c r="Q168" s="25">
        <f t="shared" si="52"/>
        <v>0</v>
      </c>
      <c r="R168" s="25">
        <f t="shared" si="52"/>
        <v>0</v>
      </c>
      <c r="S168" s="25">
        <f t="shared" si="52"/>
        <v>0</v>
      </c>
      <c r="T168" s="25">
        <f t="shared" si="52"/>
        <v>0</v>
      </c>
    </row>
    <row r="169" spans="1:20" s="22" customFormat="1" ht="49.5" x14ac:dyDescent="0.25">
      <c r="A169" s="52" t="s">
        <v>190</v>
      </c>
      <c r="B169" s="28" t="s">
        <v>191</v>
      </c>
      <c r="C169" s="55"/>
      <c r="D169" s="33">
        <f t="shared" si="49"/>
        <v>0</v>
      </c>
      <c r="E169" s="33">
        <f t="shared" si="50"/>
        <v>0</v>
      </c>
      <c r="F169" s="33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</row>
    <row r="170" spans="1:20" s="22" customFormat="1" ht="49.5" x14ac:dyDescent="0.25">
      <c r="A170" s="52" t="s">
        <v>192</v>
      </c>
      <c r="B170" s="28" t="s">
        <v>291</v>
      </c>
      <c r="C170" s="55">
        <v>226</v>
      </c>
      <c r="D170" s="33">
        <f t="shared" si="49"/>
        <v>862000</v>
      </c>
      <c r="E170" s="33">
        <f t="shared" si="50"/>
        <v>0</v>
      </c>
      <c r="F170" s="33"/>
      <c r="G170" s="38">
        <v>862000</v>
      </c>
      <c r="H170" s="38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</row>
    <row r="171" spans="1:20" s="22" customFormat="1" ht="49.5" x14ac:dyDescent="0.25">
      <c r="A171" s="52" t="s">
        <v>192</v>
      </c>
      <c r="B171" s="28" t="s">
        <v>291</v>
      </c>
      <c r="C171" s="55">
        <v>310</v>
      </c>
      <c r="D171" s="33">
        <f t="shared" si="49"/>
        <v>1019000</v>
      </c>
      <c r="E171" s="33">
        <f t="shared" si="50"/>
        <v>0</v>
      </c>
      <c r="F171" s="33"/>
      <c r="G171" s="38">
        <v>1019000</v>
      </c>
      <c r="H171" s="38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</row>
    <row r="172" spans="1:20" s="22" customFormat="1" ht="49.5" x14ac:dyDescent="0.25">
      <c r="A172" s="52" t="s">
        <v>192</v>
      </c>
      <c r="B172" s="28" t="s">
        <v>291</v>
      </c>
      <c r="C172" s="55">
        <v>340</v>
      </c>
      <c r="D172" s="33">
        <f t="shared" si="49"/>
        <v>359000</v>
      </c>
      <c r="E172" s="33">
        <f t="shared" si="50"/>
        <v>0</v>
      </c>
      <c r="F172" s="33"/>
      <c r="G172" s="38">
        <f>290000+69000</f>
        <v>359000</v>
      </c>
      <c r="H172" s="38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</row>
    <row r="173" spans="1:20" s="22" customFormat="1" ht="33" hidden="1" x14ac:dyDescent="0.25">
      <c r="A173" s="52" t="s">
        <v>194</v>
      </c>
      <c r="B173" s="28" t="s">
        <v>195</v>
      </c>
      <c r="C173" s="55"/>
      <c r="D173" s="33">
        <f t="shared" si="49"/>
        <v>0</v>
      </c>
      <c r="E173" s="33">
        <f t="shared" si="50"/>
        <v>0</v>
      </c>
      <c r="F173" s="33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</row>
    <row r="174" spans="1:20" s="36" customFormat="1" ht="34.5" x14ac:dyDescent="0.25">
      <c r="A174" s="53" t="s">
        <v>33</v>
      </c>
      <c r="B174" s="48" t="s">
        <v>34</v>
      </c>
      <c r="C174" s="71"/>
      <c r="D174" s="25">
        <f t="shared" ref="D174:T174" si="53">SUM(D175:D179)</f>
        <v>9951000</v>
      </c>
      <c r="E174" s="25">
        <f t="shared" si="53"/>
        <v>2895899.97</v>
      </c>
      <c r="F174" s="25"/>
      <c r="G174" s="25">
        <f t="shared" si="53"/>
        <v>9951000</v>
      </c>
      <c r="H174" s="25">
        <f t="shared" si="53"/>
        <v>2895899.97</v>
      </c>
      <c r="I174" s="25">
        <f t="shared" si="53"/>
        <v>0</v>
      </c>
      <c r="J174" s="25">
        <f t="shared" si="53"/>
        <v>0</v>
      </c>
      <c r="K174" s="25">
        <f t="shared" si="53"/>
        <v>0</v>
      </c>
      <c r="L174" s="25">
        <f t="shared" si="53"/>
        <v>0</v>
      </c>
      <c r="M174" s="25">
        <f t="shared" si="53"/>
        <v>0</v>
      </c>
      <c r="N174" s="25">
        <f t="shared" si="53"/>
        <v>0</v>
      </c>
      <c r="O174" s="25">
        <f t="shared" si="53"/>
        <v>0</v>
      </c>
      <c r="P174" s="25">
        <f t="shared" si="53"/>
        <v>0</v>
      </c>
      <c r="Q174" s="25">
        <f t="shared" si="53"/>
        <v>0</v>
      </c>
      <c r="R174" s="25">
        <f t="shared" si="53"/>
        <v>0</v>
      </c>
      <c r="S174" s="25">
        <f t="shared" si="53"/>
        <v>0</v>
      </c>
      <c r="T174" s="25">
        <f t="shared" si="53"/>
        <v>0</v>
      </c>
    </row>
    <row r="175" spans="1:20" s="22" customFormat="1" ht="16.5" x14ac:dyDescent="0.25">
      <c r="A175" s="52" t="s">
        <v>196</v>
      </c>
      <c r="B175" s="28" t="s">
        <v>197</v>
      </c>
      <c r="C175" s="55"/>
      <c r="D175" s="33">
        <f t="shared" si="49"/>
        <v>0</v>
      </c>
      <c r="E175" s="33">
        <f t="shared" si="50"/>
        <v>0</v>
      </c>
      <c r="F175" s="33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</row>
    <row r="176" spans="1:20" s="22" customFormat="1" ht="16.5" x14ac:dyDescent="0.25">
      <c r="A176" s="52"/>
      <c r="B176" s="28" t="s">
        <v>47</v>
      </c>
      <c r="C176" s="55">
        <v>211</v>
      </c>
      <c r="D176" s="33">
        <f t="shared" si="49"/>
        <v>7356150</v>
      </c>
      <c r="E176" s="33">
        <f t="shared" si="50"/>
        <v>2127345.9700000002</v>
      </c>
      <c r="F176" s="33"/>
      <c r="G176" s="38">
        <v>7356150</v>
      </c>
      <c r="H176" s="80">
        <v>2127345.9700000002</v>
      </c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</row>
    <row r="177" spans="1:20" s="22" customFormat="1" ht="16.5" x14ac:dyDescent="0.25">
      <c r="A177" s="52"/>
      <c r="B177" s="28" t="s">
        <v>198</v>
      </c>
      <c r="C177" s="55">
        <v>213</v>
      </c>
      <c r="D177" s="33">
        <f t="shared" si="49"/>
        <v>2184850</v>
      </c>
      <c r="E177" s="33">
        <f t="shared" si="50"/>
        <v>768554</v>
      </c>
      <c r="F177" s="33"/>
      <c r="G177" s="38">
        <v>2184850</v>
      </c>
      <c r="H177" s="80">
        <v>768554</v>
      </c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</row>
    <row r="178" spans="1:20" s="22" customFormat="1" ht="33" x14ac:dyDescent="0.25">
      <c r="A178" s="52" t="s">
        <v>199</v>
      </c>
      <c r="B178" s="28" t="s">
        <v>200</v>
      </c>
      <c r="C178" s="55">
        <v>310</v>
      </c>
      <c r="D178" s="33">
        <f t="shared" si="49"/>
        <v>410000</v>
      </c>
      <c r="E178" s="33">
        <f t="shared" si="50"/>
        <v>0</v>
      </c>
      <c r="F178" s="33"/>
      <c r="G178" s="38">
        <v>410000</v>
      </c>
      <c r="H178" s="38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</row>
    <row r="179" spans="1:20" s="22" customFormat="1" ht="33" hidden="1" x14ac:dyDescent="0.25">
      <c r="A179" s="52" t="s">
        <v>201</v>
      </c>
      <c r="B179" s="28" t="s">
        <v>202</v>
      </c>
      <c r="C179" s="55">
        <v>340</v>
      </c>
      <c r="D179" s="33">
        <f t="shared" si="49"/>
        <v>0</v>
      </c>
      <c r="E179" s="33">
        <f t="shared" si="50"/>
        <v>0</v>
      </c>
      <c r="F179" s="33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</row>
    <row r="180" spans="1:20" s="37" customFormat="1" ht="51.75" hidden="1" x14ac:dyDescent="0.25">
      <c r="A180" s="47" t="s">
        <v>35</v>
      </c>
      <c r="B180" s="62" t="s">
        <v>36</v>
      </c>
      <c r="C180" s="72"/>
      <c r="D180" s="33">
        <f t="shared" si="49"/>
        <v>0</v>
      </c>
      <c r="E180" s="33">
        <f t="shared" si="50"/>
        <v>0</v>
      </c>
      <c r="F180" s="33"/>
      <c r="G180" s="34">
        <f t="shared" ref="G180:S180" si="54">SUM(G181:G185)</f>
        <v>0</v>
      </c>
      <c r="H180" s="34"/>
      <c r="I180" s="34">
        <f t="shared" si="54"/>
        <v>0</v>
      </c>
      <c r="J180" s="34"/>
      <c r="K180" s="34">
        <f t="shared" si="54"/>
        <v>0</v>
      </c>
      <c r="L180" s="34"/>
      <c r="M180" s="34">
        <f t="shared" si="54"/>
        <v>0</v>
      </c>
      <c r="N180" s="34"/>
      <c r="O180" s="34">
        <f t="shared" si="54"/>
        <v>0</v>
      </c>
      <c r="P180" s="34"/>
      <c r="Q180" s="34"/>
      <c r="R180" s="34"/>
      <c r="S180" s="34">
        <f t="shared" si="54"/>
        <v>0</v>
      </c>
      <c r="T180" s="34">
        <f t="shared" ref="T180" si="55">SUM(T181:T185)</f>
        <v>0</v>
      </c>
    </row>
    <row r="181" spans="1:20" s="6" customFormat="1" ht="33" hidden="1" x14ac:dyDescent="0.25">
      <c r="A181" s="73" t="s">
        <v>203</v>
      </c>
      <c r="B181" s="64" t="s">
        <v>204</v>
      </c>
      <c r="C181" s="69">
        <v>222</v>
      </c>
      <c r="D181" s="33">
        <f t="shared" si="49"/>
        <v>0</v>
      </c>
      <c r="E181" s="33">
        <f t="shared" si="50"/>
        <v>0</v>
      </c>
      <c r="F181" s="33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</row>
    <row r="182" spans="1:20" s="6" customFormat="1" ht="33" hidden="1" x14ac:dyDescent="0.25">
      <c r="A182" s="73" t="s">
        <v>203</v>
      </c>
      <c r="B182" s="64" t="s">
        <v>204</v>
      </c>
      <c r="C182" s="69">
        <v>226</v>
      </c>
      <c r="D182" s="33">
        <f t="shared" si="49"/>
        <v>0</v>
      </c>
      <c r="E182" s="33">
        <f t="shared" si="50"/>
        <v>0</v>
      </c>
      <c r="F182" s="33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</row>
    <row r="183" spans="1:20" s="6" customFormat="1" ht="33" hidden="1" x14ac:dyDescent="0.25">
      <c r="A183" s="73" t="s">
        <v>203</v>
      </c>
      <c r="B183" s="64" t="s">
        <v>204</v>
      </c>
      <c r="C183" s="69">
        <v>290</v>
      </c>
      <c r="D183" s="33">
        <f t="shared" si="49"/>
        <v>0</v>
      </c>
      <c r="E183" s="33">
        <f t="shared" si="50"/>
        <v>0</v>
      </c>
      <c r="F183" s="33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</row>
    <row r="184" spans="1:20" s="6" customFormat="1" ht="33" hidden="1" x14ac:dyDescent="0.25">
      <c r="A184" s="73" t="s">
        <v>203</v>
      </c>
      <c r="B184" s="64" t="s">
        <v>204</v>
      </c>
      <c r="C184" s="69">
        <v>310</v>
      </c>
      <c r="D184" s="33">
        <f t="shared" si="49"/>
        <v>0</v>
      </c>
      <c r="E184" s="33">
        <f t="shared" si="50"/>
        <v>0</v>
      </c>
      <c r="F184" s="33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</row>
    <row r="185" spans="1:20" s="6" customFormat="1" ht="33" hidden="1" x14ac:dyDescent="0.25">
      <c r="A185" s="73" t="s">
        <v>203</v>
      </c>
      <c r="B185" s="64" t="s">
        <v>204</v>
      </c>
      <c r="C185" s="69">
        <v>340</v>
      </c>
      <c r="D185" s="33">
        <f t="shared" si="49"/>
        <v>0</v>
      </c>
      <c r="E185" s="33">
        <f t="shared" si="50"/>
        <v>0</v>
      </c>
      <c r="F185" s="33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</row>
    <row r="186" spans="1:20" s="32" customFormat="1" ht="17.25" hidden="1" x14ac:dyDescent="0.25">
      <c r="A186" s="74" t="s">
        <v>205</v>
      </c>
      <c r="B186" s="62" t="s">
        <v>37</v>
      </c>
      <c r="C186" s="49"/>
      <c r="D186" s="33">
        <f t="shared" si="49"/>
        <v>0</v>
      </c>
      <c r="E186" s="33">
        <f t="shared" si="50"/>
        <v>0</v>
      </c>
      <c r="F186" s="33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</row>
    <row r="187" spans="1:20" s="18" customFormat="1" ht="17.25" x14ac:dyDescent="0.25">
      <c r="A187" s="61" t="s">
        <v>206</v>
      </c>
      <c r="B187" s="62" t="s">
        <v>38</v>
      </c>
      <c r="C187" s="49"/>
      <c r="D187" s="34">
        <f t="shared" ref="D187:R187" si="56">SUM(D188+D189+D190+D191+D192+D193+D197+D198+D199+D200+D201+D202+D203+D205)+D204</f>
        <v>53897788.549999997</v>
      </c>
      <c r="E187" s="34">
        <f t="shared" si="56"/>
        <v>15150920.489999998</v>
      </c>
      <c r="F187" s="34"/>
      <c r="G187" s="34">
        <f t="shared" si="56"/>
        <v>0</v>
      </c>
      <c r="H187" s="34">
        <f t="shared" si="56"/>
        <v>0</v>
      </c>
      <c r="I187" s="34">
        <f t="shared" si="56"/>
        <v>0</v>
      </c>
      <c r="J187" s="34">
        <f t="shared" si="56"/>
        <v>0</v>
      </c>
      <c r="K187" s="34">
        <f t="shared" si="56"/>
        <v>0</v>
      </c>
      <c r="L187" s="34">
        <f t="shared" si="56"/>
        <v>0</v>
      </c>
      <c r="M187" s="34">
        <f t="shared" si="56"/>
        <v>0</v>
      </c>
      <c r="N187" s="34">
        <f t="shared" si="56"/>
        <v>0</v>
      </c>
      <c r="O187" s="34">
        <f t="shared" si="56"/>
        <v>0</v>
      </c>
      <c r="P187" s="34">
        <f t="shared" si="56"/>
        <v>0</v>
      </c>
      <c r="Q187" s="34">
        <f t="shared" si="56"/>
        <v>0</v>
      </c>
      <c r="R187" s="34">
        <f t="shared" si="56"/>
        <v>0</v>
      </c>
      <c r="S187" s="34">
        <f>SUM(S188+S189+S190+S191+S192+S193+S197+S198+S199+S200+S201+S202+S203+S205)+S204</f>
        <v>53897788.549999997</v>
      </c>
      <c r="T187" s="34">
        <f>SUM(T188+T189+T190+T191+T192+T193+T197+T198+T199+T200+T201+T202+T203+T205)+T204</f>
        <v>15150920.489999998</v>
      </c>
    </row>
    <row r="188" spans="1:20" s="6" customFormat="1" ht="16.5" x14ac:dyDescent="0.25">
      <c r="A188" s="63" t="s">
        <v>207</v>
      </c>
      <c r="B188" s="28" t="s">
        <v>47</v>
      </c>
      <c r="C188" s="51">
        <v>211</v>
      </c>
      <c r="D188" s="33">
        <f t="shared" si="49"/>
        <v>5706778.9800000004</v>
      </c>
      <c r="E188" s="33">
        <f t="shared" si="50"/>
        <v>1551707.88</v>
      </c>
      <c r="F188" s="33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33">
        <v>5706778.9800000004</v>
      </c>
      <c r="T188" s="81">
        <v>1551707.88</v>
      </c>
    </row>
    <row r="189" spans="1:20" s="6" customFormat="1" ht="16.5" x14ac:dyDescent="0.25">
      <c r="A189" s="63" t="s">
        <v>208</v>
      </c>
      <c r="B189" s="28" t="s">
        <v>49</v>
      </c>
      <c r="C189" s="51">
        <v>212</v>
      </c>
      <c r="D189" s="33">
        <f t="shared" si="49"/>
        <v>27000</v>
      </c>
      <c r="E189" s="33">
        <f t="shared" si="50"/>
        <v>-26006</v>
      </c>
      <c r="F189" s="33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33">
        <v>27000</v>
      </c>
      <c r="T189" s="81">
        <v>-26006</v>
      </c>
    </row>
    <row r="190" spans="1:20" s="6" customFormat="1" ht="16.5" x14ac:dyDescent="0.25">
      <c r="A190" s="63" t="s">
        <v>209</v>
      </c>
      <c r="B190" s="28" t="s">
        <v>51</v>
      </c>
      <c r="C190" s="51">
        <v>213</v>
      </c>
      <c r="D190" s="33">
        <f t="shared" si="49"/>
        <v>1328552.75</v>
      </c>
      <c r="E190" s="33">
        <f t="shared" si="50"/>
        <v>428583.98</v>
      </c>
      <c r="F190" s="33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33">
        <v>1328552.75</v>
      </c>
      <c r="T190" s="81">
        <v>428583.98</v>
      </c>
    </row>
    <row r="191" spans="1:20" s="6" customFormat="1" ht="16.5" x14ac:dyDescent="0.25">
      <c r="A191" s="63" t="s">
        <v>210</v>
      </c>
      <c r="B191" s="28" t="s">
        <v>53</v>
      </c>
      <c r="C191" s="51">
        <v>221</v>
      </c>
      <c r="D191" s="33">
        <f t="shared" si="49"/>
        <v>219924.83</v>
      </c>
      <c r="E191" s="33">
        <f t="shared" si="50"/>
        <v>108112.26</v>
      </c>
      <c r="F191" s="33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33">
        <v>219924.83</v>
      </c>
      <c r="T191" s="81">
        <v>108112.26</v>
      </c>
    </row>
    <row r="192" spans="1:20" s="6" customFormat="1" ht="16.5" x14ac:dyDescent="0.25">
      <c r="A192" s="63" t="s">
        <v>211</v>
      </c>
      <c r="B192" s="28" t="s">
        <v>55</v>
      </c>
      <c r="C192" s="51">
        <v>222</v>
      </c>
      <c r="D192" s="33">
        <f t="shared" si="49"/>
        <v>3212</v>
      </c>
      <c r="E192" s="33">
        <f t="shared" si="50"/>
        <v>0</v>
      </c>
      <c r="F192" s="33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33">
        <v>3212</v>
      </c>
      <c r="T192" s="81"/>
    </row>
    <row r="193" spans="1:20" s="6" customFormat="1" ht="16.5" x14ac:dyDescent="0.25">
      <c r="A193" s="63" t="s">
        <v>212</v>
      </c>
      <c r="B193" s="28" t="s">
        <v>57</v>
      </c>
      <c r="C193" s="51">
        <v>223</v>
      </c>
      <c r="D193" s="33">
        <f t="shared" si="49"/>
        <v>1063125.4300000002</v>
      </c>
      <c r="E193" s="33">
        <f t="shared" si="50"/>
        <v>233880.53</v>
      </c>
      <c r="F193" s="33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33">
        <f>SUM(S194:S196)</f>
        <v>1063125.4300000002</v>
      </c>
      <c r="T193" s="81">
        <f>SUM(T194:T196)</f>
        <v>233880.53</v>
      </c>
    </row>
    <row r="194" spans="1:20" s="6" customFormat="1" ht="16.5" x14ac:dyDescent="0.25">
      <c r="A194" s="63"/>
      <c r="B194" s="58" t="s">
        <v>213</v>
      </c>
      <c r="C194" s="51">
        <v>223</v>
      </c>
      <c r="D194" s="33">
        <f t="shared" si="49"/>
        <v>752701.31</v>
      </c>
      <c r="E194" s="33">
        <f t="shared" si="50"/>
        <v>117998.3</v>
      </c>
      <c r="F194" s="33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33">
        <v>752701.31</v>
      </c>
      <c r="T194" s="81">
        <v>117998.3</v>
      </c>
    </row>
    <row r="195" spans="1:20" s="6" customFormat="1" ht="16.5" x14ac:dyDescent="0.25">
      <c r="A195" s="63"/>
      <c r="B195" s="58" t="s">
        <v>214</v>
      </c>
      <c r="C195" s="51">
        <v>223</v>
      </c>
      <c r="D195" s="33">
        <f t="shared" si="49"/>
        <v>310424.12</v>
      </c>
      <c r="E195" s="33">
        <f t="shared" si="50"/>
        <v>75602.67</v>
      </c>
      <c r="F195" s="33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33">
        <v>310424.12</v>
      </c>
      <c r="T195" s="81">
        <v>75602.67</v>
      </c>
    </row>
    <row r="196" spans="1:20" s="6" customFormat="1" ht="16.5" x14ac:dyDescent="0.25">
      <c r="A196" s="63"/>
      <c r="B196" s="58" t="s">
        <v>215</v>
      </c>
      <c r="C196" s="51">
        <v>223</v>
      </c>
      <c r="D196" s="33">
        <f t="shared" si="49"/>
        <v>0</v>
      </c>
      <c r="E196" s="33">
        <f t="shared" si="50"/>
        <v>40279.56</v>
      </c>
      <c r="F196" s="33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33"/>
      <c r="T196" s="81">
        <v>40279.56</v>
      </c>
    </row>
    <row r="197" spans="1:20" s="6" customFormat="1" ht="16.5" x14ac:dyDescent="0.25">
      <c r="A197" s="63" t="s">
        <v>216</v>
      </c>
      <c r="B197" s="58" t="s">
        <v>217</v>
      </c>
      <c r="C197" s="51">
        <v>224</v>
      </c>
      <c r="D197" s="33">
        <f t="shared" si="49"/>
        <v>0</v>
      </c>
      <c r="E197" s="33">
        <f t="shared" si="50"/>
        <v>0</v>
      </c>
      <c r="F197" s="33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33"/>
      <c r="T197" s="81"/>
    </row>
    <row r="198" spans="1:20" s="6" customFormat="1" ht="16.5" x14ac:dyDescent="0.25">
      <c r="A198" s="63" t="s">
        <v>218</v>
      </c>
      <c r="B198" s="58" t="s">
        <v>219</v>
      </c>
      <c r="C198" s="51">
        <v>225</v>
      </c>
      <c r="D198" s="33">
        <f t="shared" si="49"/>
        <v>0</v>
      </c>
      <c r="E198" s="33">
        <f t="shared" si="50"/>
        <v>0</v>
      </c>
      <c r="F198" s="33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33"/>
      <c r="T198" s="81"/>
    </row>
    <row r="199" spans="1:20" s="6" customFormat="1" ht="16.5" x14ac:dyDescent="0.25">
      <c r="A199" s="63" t="s">
        <v>220</v>
      </c>
      <c r="B199" s="58" t="s">
        <v>221</v>
      </c>
      <c r="C199" s="51">
        <v>225</v>
      </c>
      <c r="D199" s="33">
        <f t="shared" si="49"/>
        <v>773709.3</v>
      </c>
      <c r="E199" s="33">
        <f t="shared" si="50"/>
        <v>415542.24</v>
      </c>
      <c r="F199" s="33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33">
        <v>773709.3</v>
      </c>
      <c r="T199" s="81">
        <v>415542.24</v>
      </c>
    </row>
    <row r="200" spans="1:20" s="6" customFormat="1" ht="16.5" x14ac:dyDescent="0.25">
      <c r="A200" s="63" t="s">
        <v>222</v>
      </c>
      <c r="B200" s="58" t="s">
        <v>223</v>
      </c>
      <c r="C200" s="51">
        <v>226</v>
      </c>
      <c r="D200" s="33">
        <f t="shared" si="49"/>
        <v>24353061.210000001</v>
      </c>
      <c r="E200" s="33">
        <f t="shared" si="50"/>
        <v>8984637.540000001</v>
      </c>
      <c r="F200" s="33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33">
        <v>24353061.210000001</v>
      </c>
      <c r="T200" s="81">
        <f>9964459.56-T201</f>
        <v>8984637.540000001</v>
      </c>
    </row>
    <row r="201" spans="1:20" s="6" customFormat="1" ht="16.5" x14ac:dyDescent="0.25">
      <c r="A201" s="63" t="s">
        <v>224</v>
      </c>
      <c r="B201" s="58" t="s">
        <v>225</v>
      </c>
      <c r="C201" s="51">
        <v>226</v>
      </c>
      <c r="D201" s="33">
        <f t="shared" si="49"/>
        <v>13746173.17</v>
      </c>
      <c r="E201" s="33">
        <f t="shared" si="50"/>
        <v>979822.02</v>
      </c>
      <c r="F201" s="33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33">
        <v>13746173.17</v>
      </c>
      <c r="T201" s="81">
        <f>18864+960958.02</f>
        <v>979822.02</v>
      </c>
    </row>
    <row r="202" spans="1:20" s="6" customFormat="1" ht="16.5" x14ac:dyDescent="0.25">
      <c r="A202" s="63" t="s">
        <v>226</v>
      </c>
      <c r="B202" s="28" t="s">
        <v>68</v>
      </c>
      <c r="C202" s="51">
        <v>290</v>
      </c>
      <c r="D202" s="33">
        <f t="shared" si="49"/>
        <v>344530.64</v>
      </c>
      <c r="E202" s="33">
        <f t="shared" si="50"/>
        <v>166900.25</v>
      </c>
      <c r="F202" s="33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33">
        <v>344530.64</v>
      </c>
      <c r="T202" s="81">
        <f>2718.44+10420.92+1565+17140.98+135054.91</f>
        <v>166900.25</v>
      </c>
    </row>
    <row r="203" spans="1:20" s="6" customFormat="1" ht="16.5" x14ac:dyDescent="0.25">
      <c r="A203" s="63" t="s">
        <v>227</v>
      </c>
      <c r="B203" s="58" t="s">
        <v>72</v>
      </c>
      <c r="C203" s="51">
        <v>310</v>
      </c>
      <c r="D203" s="33">
        <f t="shared" si="49"/>
        <v>2130708.0499999998</v>
      </c>
      <c r="E203" s="33">
        <f t="shared" si="50"/>
        <v>550414</v>
      </c>
      <c r="F203" s="33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33">
        <v>2130708.0499999998</v>
      </c>
      <c r="T203" s="81">
        <v>550414</v>
      </c>
    </row>
    <row r="204" spans="1:20" s="6" customFormat="1" ht="16.5" x14ac:dyDescent="0.25">
      <c r="A204" s="63" t="s">
        <v>228</v>
      </c>
      <c r="B204" s="58" t="s">
        <v>243</v>
      </c>
      <c r="C204" s="51">
        <v>340</v>
      </c>
      <c r="D204" s="33">
        <f t="shared" si="49"/>
        <v>3757012.19</v>
      </c>
      <c r="E204" s="33">
        <f t="shared" si="50"/>
        <v>1739588.29</v>
      </c>
      <c r="F204" s="33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33">
        <v>3757012.19</v>
      </c>
      <c r="T204" s="81">
        <f>1757325.79-17737.5</f>
        <v>1739588.29</v>
      </c>
    </row>
    <row r="205" spans="1:20" s="6" customFormat="1" ht="16.5" x14ac:dyDescent="0.25">
      <c r="A205" s="63" t="s">
        <v>286</v>
      </c>
      <c r="B205" s="58" t="s">
        <v>225</v>
      </c>
      <c r="C205" s="51">
        <v>340</v>
      </c>
      <c r="D205" s="33">
        <f t="shared" si="49"/>
        <v>444000</v>
      </c>
      <c r="E205" s="33">
        <f t="shared" si="50"/>
        <v>17737.5</v>
      </c>
      <c r="F205" s="33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33">
        <v>444000</v>
      </c>
      <c r="T205" s="81">
        <v>17737.5</v>
      </c>
    </row>
    <row r="206" spans="1:20" s="18" customFormat="1" ht="17.25" x14ac:dyDescent="0.25">
      <c r="A206" s="61" t="s">
        <v>229</v>
      </c>
      <c r="B206" s="62" t="s">
        <v>39</v>
      </c>
      <c r="C206" s="49"/>
      <c r="D206" s="34">
        <f t="shared" ref="D206:R206" si="57">SUM(D207+D208+D209+D210+D211+D212+D216+D217+D218+D219+D220+D221+D222)</f>
        <v>4877324.1399999997</v>
      </c>
      <c r="E206" s="34">
        <f t="shared" si="57"/>
        <v>731669.21</v>
      </c>
      <c r="F206" s="34"/>
      <c r="G206" s="34">
        <f t="shared" si="57"/>
        <v>0</v>
      </c>
      <c r="H206" s="34">
        <f t="shared" si="57"/>
        <v>0</v>
      </c>
      <c r="I206" s="34">
        <f t="shared" si="57"/>
        <v>0</v>
      </c>
      <c r="J206" s="34">
        <f t="shared" si="57"/>
        <v>0</v>
      </c>
      <c r="K206" s="34">
        <f t="shared" si="57"/>
        <v>0</v>
      </c>
      <c r="L206" s="34">
        <f t="shared" si="57"/>
        <v>0</v>
      </c>
      <c r="M206" s="34">
        <f t="shared" si="57"/>
        <v>0</v>
      </c>
      <c r="N206" s="34">
        <f t="shared" si="57"/>
        <v>0</v>
      </c>
      <c r="O206" s="34">
        <f t="shared" si="57"/>
        <v>0</v>
      </c>
      <c r="P206" s="34">
        <f t="shared" si="57"/>
        <v>0</v>
      </c>
      <c r="Q206" s="34">
        <f t="shared" si="57"/>
        <v>0</v>
      </c>
      <c r="R206" s="34">
        <f t="shared" si="57"/>
        <v>0</v>
      </c>
      <c r="S206" s="34">
        <f>SUM(S207+S208+S209+S210+S211+S212+S216+S217+S218+S219+S220+S221+S222)</f>
        <v>4877324.1399999997</v>
      </c>
      <c r="T206" s="34">
        <f t="shared" ref="T206" si="58">SUM(T207+T208+T209+T210+T211+T212+T216+T217+T218+T219+T220+T221+T222)</f>
        <v>731669.21</v>
      </c>
    </row>
    <row r="207" spans="1:20" s="6" customFormat="1" ht="16.5" x14ac:dyDescent="0.25">
      <c r="A207" s="63" t="s">
        <v>230</v>
      </c>
      <c r="B207" s="28" t="s">
        <v>47</v>
      </c>
      <c r="C207" s="51">
        <v>211</v>
      </c>
      <c r="D207" s="33">
        <f t="shared" si="49"/>
        <v>0</v>
      </c>
      <c r="E207" s="33">
        <f t="shared" si="50"/>
        <v>0</v>
      </c>
      <c r="F207" s="33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81"/>
    </row>
    <row r="208" spans="1:20" s="6" customFormat="1" ht="16.5" x14ac:dyDescent="0.25">
      <c r="A208" s="63" t="s">
        <v>231</v>
      </c>
      <c r="B208" s="28" t="s">
        <v>49</v>
      </c>
      <c r="C208" s="51">
        <v>212</v>
      </c>
      <c r="D208" s="33">
        <f t="shared" si="49"/>
        <v>0</v>
      </c>
      <c r="E208" s="33">
        <f t="shared" si="50"/>
        <v>0</v>
      </c>
      <c r="F208" s="33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81"/>
    </row>
    <row r="209" spans="1:20" s="6" customFormat="1" ht="16.5" x14ac:dyDescent="0.25">
      <c r="A209" s="63" t="s">
        <v>232</v>
      </c>
      <c r="B209" s="28" t="s">
        <v>51</v>
      </c>
      <c r="C209" s="51">
        <v>213</v>
      </c>
      <c r="D209" s="33">
        <f t="shared" si="49"/>
        <v>0</v>
      </c>
      <c r="E209" s="33">
        <f t="shared" si="50"/>
        <v>0</v>
      </c>
      <c r="F209" s="33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81"/>
    </row>
    <row r="210" spans="1:20" s="6" customFormat="1" ht="16.5" x14ac:dyDescent="0.25">
      <c r="A210" s="63" t="s">
        <v>233</v>
      </c>
      <c r="B210" s="28" t="s">
        <v>53</v>
      </c>
      <c r="C210" s="51">
        <v>221</v>
      </c>
      <c r="D210" s="33">
        <f t="shared" si="49"/>
        <v>118683.72</v>
      </c>
      <c r="E210" s="33">
        <f t="shared" si="50"/>
        <v>28581.09</v>
      </c>
      <c r="F210" s="33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33">
        <v>118683.72</v>
      </c>
      <c r="T210" s="81">
        <v>28581.09</v>
      </c>
    </row>
    <row r="211" spans="1:20" s="6" customFormat="1" ht="16.5" x14ac:dyDescent="0.25">
      <c r="A211" s="63" t="s">
        <v>234</v>
      </c>
      <c r="B211" s="28" t="s">
        <v>55</v>
      </c>
      <c r="C211" s="51">
        <v>222</v>
      </c>
      <c r="D211" s="33">
        <f t="shared" si="49"/>
        <v>40000</v>
      </c>
      <c r="E211" s="33">
        <f t="shared" si="50"/>
        <v>0</v>
      </c>
      <c r="F211" s="33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33">
        <v>40000</v>
      </c>
      <c r="T211" s="81"/>
    </row>
    <row r="212" spans="1:20" s="6" customFormat="1" ht="16.5" x14ac:dyDescent="0.25">
      <c r="A212" s="63" t="s">
        <v>235</v>
      </c>
      <c r="B212" s="28" t="s">
        <v>57</v>
      </c>
      <c r="C212" s="51">
        <v>223</v>
      </c>
      <c r="D212" s="33">
        <f t="shared" si="49"/>
        <v>0</v>
      </c>
      <c r="E212" s="33">
        <f t="shared" si="50"/>
        <v>0</v>
      </c>
      <c r="F212" s="33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33"/>
      <c r="T212" s="81"/>
    </row>
    <row r="213" spans="1:20" s="6" customFormat="1" ht="16.5" hidden="1" x14ac:dyDescent="0.25">
      <c r="A213" s="63"/>
      <c r="B213" s="58" t="s">
        <v>213</v>
      </c>
      <c r="C213" s="51">
        <v>223</v>
      </c>
      <c r="D213" s="33">
        <f t="shared" si="49"/>
        <v>0</v>
      </c>
      <c r="E213" s="33">
        <f t="shared" si="50"/>
        <v>0</v>
      </c>
      <c r="F213" s="33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33"/>
      <c r="T213" s="81"/>
    </row>
    <row r="214" spans="1:20" s="6" customFormat="1" ht="16.5" hidden="1" x14ac:dyDescent="0.25">
      <c r="A214" s="63"/>
      <c r="B214" s="58" t="s">
        <v>214</v>
      </c>
      <c r="C214" s="51">
        <v>223</v>
      </c>
      <c r="D214" s="33">
        <f t="shared" si="49"/>
        <v>0</v>
      </c>
      <c r="E214" s="33">
        <f t="shared" si="50"/>
        <v>0</v>
      </c>
      <c r="F214" s="33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33"/>
      <c r="T214" s="81"/>
    </row>
    <row r="215" spans="1:20" s="6" customFormat="1" ht="16.5" hidden="1" x14ac:dyDescent="0.25">
      <c r="A215" s="63"/>
      <c r="B215" s="58" t="s">
        <v>215</v>
      </c>
      <c r="C215" s="51">
        <v>223</v>
      </c>
      <c r="D215" s="33">
        <f t="shared" si="49"/>
        <v>0</v>
      </c>
      <c r="E215" s="33">
        <f t="shared" si="50"/>
        <v>0</v>
      </c>
      <c r="F215" s="33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33"/>
      <c r="T215" s="81"/>
    </row>
    <row r="216" spans="1:20" s="6" customFormat="1" ht="16.5" x14ac:dyDescent="0.25">
      <c r="A216" s="63" t="s">
        <v>236</v>
      </c>
      <c r="B216" s="58" t="s">
        <v>217</v>
      </c>
      <c r="C216" s="51">
        <v>224</v>
      </c>
      <c r="D216" s="33">
        <f t="shared" ref="D216:D258" si="59">SUM(G216+I216+K216+M216+O216+Q216+S216)</f>
        <v>0</v>
      </c>
      <c r="E216" s="33">
        <f t="shared" ref="E216:E258" si="60">SUM(H216+J216+L216+N216+P216+R216+T216)</f>
        <v>0</v>
      </c>
      <c r="F216" s="33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33"/>
      <c r="T216" s="81"/>
    </row>
    <row r="217" spans="1:20" s="6" customFormat="1" ht="16.5" x14ac:dyDescent="0.25">
      <c r="A217" s="63" t="s">
        <v>237</v>
      </c>
      <c r="B217" s="58" t="s">
        <v>219</v>
      </c>
      <c r="C217" s="51">
        <v>225</v>
      </c>
      <c r="D217" s="33">
        <f t="shared" si="59"/>
        <v>0</v>
      </c>
      <c r="E217" s="33">
        <f t="shared" si="60"/>
        <v>0</v>
      </c>
      <c r="F217" s="33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33"/>
      <c r="T217" s="81"/>
    </row>
    <row r="218" spans="1:20" s="6" customFormat="1" ht="16.5" x14ac:dyDescent="0.25">
      <c r="A218" s="63" t="s">
        <v>238</v>
      </c>
      <c r="B218" s="28" t="s">
        <v>64</v>
      </c>
      <c r="C218" s="51">
        <v>225</v>
      </c>
      <c r="D218" s="33">
        <f t="shared" si="59"/>
        <v>405118.44</v>
      </c>
      <c r="E218" s="33">
        <f t="shared" si="60"/>
        <v>35586.39</v>
      </c>
      <c r="F218" s="33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33">
        <f>6750+398368.44</f>
        <v>405118.44</v>
      </c>
      <c r="T218" s="81">
        <f>17000+18586.39</f>
        <v>35586.39</v>
      </c>
    </row>
    <row r="219" spans="1:20" s="6" customFormat="1" ht="16.5" x14ac:dyDescent="0.25">
      <c r="A219" s="63" t="s">
        <v>239</v>
      </c>
      <c r="B219" s="28" t="s">
        <v>66</v>
      </c>
      <c r="C219" s="51">
        <v>226</v>
      </c>
      <c r="D219" s="33">
        <f t="shared" si="59"/>
        <v>617348.64</v>
      </c>
      <c r="E219" s="33">
        <f t="shared" si="60"/>
        <v>129178.79</v>
      </c>
      <c r="F219" s="33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33">
        <v>617348.64</v>
      </c>
      <c r="T219" s="81">
        <v>129178.79</v>
      </c>
    </row>
    <row r="220" spans="1:20" s="6" customFormat="1" ht="16.5" x14ac:dyDescent="0.25">
      <c r="A220" s="63" t="s">
        <v>240</v>
      </c>
      <c r="B220" s="28" t="s">
        <v>68</v>
      </c>
      <c r="C220" s="51">
        <v>290</v>
      </c>
      <c r="D220" s="33">
        <f t="shared" si="59"/>
        <v>82979.22</v>
      </c>
      <c r="E220" s="33">
        <f t="shared" si="60"/>
        <v>8528.2800000000007</v>
      </c>
      <c r="F220" s="33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33">
        <v>82979.22</v>
      </c>
      <c r="T220" s="81">
        <f>3518.28+5010</f>
        <v>8528.2800000000007</v>
      </c>
    </row>
    <row r="221" spans="1:20" s="6" customFormat="1" ht="16.5" x14ac:dyDescent="0.25">
      <c r="A221" s="63" t="s">
        <v>241</v>
      </c>
      <c r="B221" s="58" t="s">
        <v>72</v>
      </c>
      <c r="C221" s="51">
        <v>310</v>
      </c>
      <c r="D221" s="33">
        <f t="shared" si="59"/>
        <v>889399.78</v>
      </c>
      <c r="E221" s="33">
        <f t="shared" si="60"/>
        <v>130868.5</v>
      </c>
      <c r="F221" s="33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33">
        <v>889399.78</v>
      </c>
      <c r="T221" s="81">
        <v>130868.5</v>
      </c>
    </row>
    <row r="222" spans="1:20" s="6" customFormat="1" ht="16.5" x14ac:dyDescent="0.25">
      <c r="A222" s="63" t="s">
        <v>242</v>
      </c>
      <c r="B222" s="58" t="s">
        <v>243</v>
      </c>
      <c r="C222" s="51">
        <v>340</v>
      </c>
      <c r="D222" s="33">
        <f t="shared" si="59"/>
        <v>2723794.34</v>
      </c>
      <c r="E222" s="33">
        <f t="shared" si="60"/>
        <v>398926.16</v>
      </c>
      <c r="F222" s="33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33">
        <v>2723794.34</v>
      </c>
      <c r="T222" s="81">
        <v>398926.16</v>
      </c>
    </row>
    <row r="223" spans="1:20" s="18" customFormat="1" ht="17.25" x14ac:dyDescent="0.25">
      <c r="A223" s="61" t="s">
        <v>244</v>
      </c>
      <c r="B223" s="62" t="s">
        <v>40</v>
      </c>
      <c r="C223" s="49"/>
      <c r="D223" s="34">
        <f t="shared" ref="D223:S223" si="61">SUM(D224+D225+D226+D227+D228+D229+D233+D234+D235+D236+D237+D238+D239+D240)</f>
        <v>3086102.46</v>
      </c>
      <c r="E223" s="34">
        <f t="shared" si="61"/>
        <v>748812.35</v>
      </c>
      <c r="F223" s="34"/>
      <c r="G223" s="34">
        <f t="shared" si="61"/>
        <v>0</v>
      </c>
      <c r="H223" s="34">
        <f t="shared" si="61"/>
        <v>0</v>
      </c>
      <c r="I223" s="34">
        <f t="shared" si="61"/>
        <v>0</v>
      </c>
      <c r="J223" s="34">
        <f t="shared" si="61"/>
        <v>0</v>
      </c>
      <c r="K223" s="34">
        <f t="shared" si="61"/>
        <v>0</v>
      </c>
      <c r="L223" s="34">
        <f t="shared" si="61"/>
        <v>0</v>
      </c>
      <c r="M223" s="34">
        <f t="shared" si="61"/>
        <v>0</v>
      </c>
      <c r="N223" s="34">
        <f t="shared" si="61"/>
        <v>0</v>
      </c>
      <c r="O223" s="34">
        <f t="shared" si="61"/>
        <v>0</v>
      </c>
      <c r="P223" s="34">
        <f t="shared" si="61"/>
        <v>0</v>
      </c>
      <c r="Q223" s="34">
        <f t="shared" si="61"/>
        <v>0</v>
      </c>
      <c r="R223" s="34">
        <f t="shared" si="61"/>
        <v>0</v>
      </c>
      <c r="S223" s="34">
        <f t="shared" si="61"/>
        <v>3086102.46</v>
      </c>
      <c r="T223" s="34">
        <f t="shared" ref="T223" si="62">SUM(T224+T225+T226+T227+T228+T229+T233+T234+T235+T236+T237+T238+T239+T240)</f>
        <v>748812.35</v>
      </c>
    </row>
    <row r="224" spans="1:20" s="6" customFormat="1" ht="16.5" x14ac:dyDescent="0.25">
      <c r="A224" s="63" t="s">
        <v>245</v>
      </c>
      <c r="B224" s="28" t="s">
        <v>47</v>
      </c>
      <c r="C224" s="51">
        <v>211</v>
      </c>
      <c r="D224" s="33">
        <f t="shared" si="59"/>
        <v>0</v>
      </c>
      <c r="E224" s="33">
        <f t="shared" si="60"/>
        <v>0</v>
      </c>
      <c r="F224" s="33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81"/>
    </row>
    <row r="225" spans="1:20" s="6" customFormat="1" ht="16.5" x14ac:dyDescent="0.25">
      <c r="A225" s="63" t="s">
        <v>246</v>
      </c>
      <c r="B225" s="28" t="s">
        <v>49</v>
      </c>
      <c r="C225" s="51">
        <v>212</v>
      </c>
      <c r="D225" s="33">
        <f t="shared" si="59"/>
        <v>0</v>
      </c>
      <c r="E225" s="33">
        <f t="shared" si="60"/>
        <v>0</v>
      </c>
      <c r="F225" s="33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81"/>
    </row>
    <row r="226" spans="1:20" s="6" customFormat="1" ht="16.5" x14ac:dyDescent="0.25">
      <c r="A226" s="63" t="s">
        <v>247</v>
      </c>
      <c r="B226" s="28" t="s">
        <v>51</v>
      </c>
      <c r="C226" s="51">
        <v>213</v>
      </c>
      <c r="D226" s="33">
        <f t="shared" si="59"/>
        <v>0</v>
      </c>
      <c r="E226" s="33">
        <f t="shared" si="60"/>
        <v>0</v>
      </c>
      <c r="F226" s="33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81"/>
    </row>
    <row r="227" spans="1:20" s="6" customFormat="1" ht="16.5" x14ac:dyDescent="0.25">
      <c r="A227" s="63" t="s">
        <v>248</v>
      </c>
      <c r="B227" s="28" t="s">
        <v>53</v>
      </c>
      <c r="C227" s="51">
        <v>221</v>
      </c>
      <c r="D227" s="33">
        <f t="shared" si="59"/>
        <v>0</v>
      </c>
      <c r="E227" s="33">
        <f t="shared" si="60"/>
        <v>0</v>
      </c>
      <c r="F227" s="33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81"/>
    </row>
    <row r="228" spans="1:20" s="6" customFormat="1" ht="16.5" x14ac:dyDescent="0.25">
      <c r="A228" s="63" t="s">
        <v>249</v>
      </c>
      <c r="B228" s="28" t="s">
        <v>55</v>
      </c>
      <c r="C228" s="51">
        <v>222</v>
      </c>
      <c r="D228" s="33">
        <f t="shared" si="59"/>
        <v>0</v>
      </c>
      <c r="E228" s="33">
        <f t="shared" si="60"/>
        <v>0</v>
      </c>
      <c r="F228" s="33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81"/>
    </row>
    <row r="229" spans="1:20" s="6" customFormat="1" ht="16.5" x14ac:dyDescent="0.25">
      <c r="A229" s="63" t="s">
        <v>250</v>
      </c>
      <c r="B229" s="28" t="s">
        <v>57</v>
      </c>
      <c r="C229" s="51">
        <v>223</v>
      </c>
      <c r="D229" s="33">
        <f t="shared" si="59"/>
        <v>0</v>
      </c>
      <c r="E229" s="33">
        <f t="shared" si="60"/>
        <v>0</v>
      </c>
      <c r="F229" s="33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81"/>
    </row>
    <row r="230" spans="1:20" s="6" customFormat="1" ht="16.5" hidden="1" x14ac:dyDescent="0.25">
      <c r="A230" s="63"/>
      <c r="B230" s="58" t="s">
        <v>213</v>
      </c>
      <c r="C230" s="51">
        <v>223</v>
      </c>
      <c r="D230" s="33">
        <f t="shared" si="59"/>
        <v>0</v>
      </c>
      <c r="E230" s="33">
        <f t="shared" si="60"/>
        <v>0</v>
      </c>
      <c r="F230" s="33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81"/>
    </row>
    <row r="231" spans="1:20" s="6" customFormat="1" ht="16.5" hidden="1" x14ac:dyDescent="0.25">
      <c r="A231" s="63"/>
      <c r="B231" s="58" t="s">
        <v>214</v>
      </c>
      <c r="C231" s="51">
        <v>223</v>
      </c>
      <c r="D231" s="33">
        <f t="shared" si="59"/>
        <v>0</v>
      </c>
      <c r="E231" s="33">
        <f t="shared" si="60"/>
        <v>0</v>
      </c>
      <c r="F231" s="33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81"/>
    </row>
    <row r="232" spans="1:20" s="6" customFormat="1" ht="16.5" hidden="1" x14ac:dyDescent="0.25">
      <c r="A232" s="63"/>
      <c r="B232" s="58" t="s">
        <v>215</v>
      </c>
      <c r="C232" s="51">
        <v>223</v>
      </c>
      <c r="D232" s="33">
        <f t="shared" si="59"/>
        <v>0</v>
      </c>
      <c r="E232" s="33">
        <f t="shared" si="60"/>
        <v>0</v>
      </c>
      <c r="F232" s="33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81"/>
    </row>
    <row r="233" spans="1:20" s="6" customFormat="1" ht="16.5" x14ac:dyDescent="0.25">
      <c r="A233" s="63" t="s">
        <v>251</v>
      </c>
      <c r="B233" s="58" t="s">
        <v>217</v>
      </c>
      <c r="C233" s="51">
        <v>224</v>
      </c>
      <c r="D233" s="33">
        <f t="shared" si="59"/>
        <v>0</v>
      </c>
      <c r="E233" s="33">
        <f t="shared" si="60"/>
        <v>0</v>
      </c>
      <c r="F233" s="33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81"/>
    </row>
    <row r="234" spans="1:20" s="6" customFormat="1" ht="16.5" x14ac:dyDescent="0.25">
      <c r="A234" s="63" t="s">
        <v>252</v>
      </c>
      <c r="B234" s="58" t="s">
        <v>219</v>
      </c>
      <c r="C234" s="51">
        <v>225</v>
      </c>
      <c r="D234" s="33">
        <f t="shared" si="59"/>
        <v>0</v>
      </c>
      <c r="E234" s="33">
        <f t="shared" si="60"/>
        <v>0</v>
      </c>
      <c r="F234" s="33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81"/>
    </row>
    <row r="235" spans="1:20" s="6" customFormat="1" ht="16.5" x14ac:dyDescent="0.25">
      <c r="A235" s="63" t="s">
        <v>253</v>
      </c>
      <c r="B235" s="28" t="s">
        <v>64</v>
      </c>
      <c r="C235" s="51">
        <v>225</v>
      </c>
      <c r="D235" s="33">
        <f t="shared" si="59"/>
        <v>22862</v>
      </c>
      <c r="E235" s="33">
        <f t="shared" si="60"/>
        <v>0</v>
      </c>
      <c r="F235" s="33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33">
        <v>22862</v>
      </c>
      <c r="T235" s="81"/>
    </row>
    <row r="236" spans="1:20" s="6" customFormat="1" ht="16.5" x14ac:dyDescent="0.25">
      <c r="A236" s="63" t="s">
        <v>254</v>
      </c>
      <c r="B236" s="28" t="s">
        <v>66</v>
      </c>
      <c r="C236" s="51">
        <v>226</v>
      </c>
      <c r="D236" s="33">
        <f t="shared" si="59"/>
        <v>16720.5</v>
      </c>
      <c r="E236" s="33">
        <f t="shared" si="60"/>
        <v>0</v>
      </c>
      <c r="F236" s="33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33">
        <v>16720.5</v>
      </c>
      <c r="T236" s="81"/>
    </row>
    <row r="237" spans="1:20" s="6" customFormat="1" ht="16.5" x14ac:dyDescent="0.25">
      <c r="A237" s="63" t="s">
        <v>255</v>
      </c>
      <c r="B237" s="58" t="s">
        <v>225</v>
      </c>
      <c r="C237" s="51">
        <v>226</v>
      </c>
      <c r="D237" s="33">
        <f t="shared" si="59"/>
        <v>0</v>
      </c>
      <c r="E237" s="33">
        <f t="shared" si="60"/>
        <v>0</v>
      </c>
      <c r="F237" s="33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33"/>
      <c r="T237" s="81"/>
    </row>
    <row r="238" spans="1:20" s="6" customFormat="1" ht="16.5" x14ac:dyDescent="0.25">
      <c r="A238" s="63" t="s">
        <v>256</v>
      </c>
      <c r="B238" s="28" t="s">
        <v>68</v>
      </c>
      <c r="C238" s="51">
        <v>290</v>
      </c>
      <c r="D238" s="33">
        <f t="shared" si="59"/>
        <v>550</v>
      </c>
      <c r="E238" s="33">
        <f t="shared" si="60"/>
        <v>0</v>
      </c>
      <c r="F238" s="33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33">
        <v>550</v>
      </c>
      <c r="T238" s="81"/>
    </row>
    <row r="239" spans="1:20" s="6" customFormat="1" ht="16.5" x14ac:dyDescent="0.25">
      <c r="A239" s="63" t="s">
        <v>257</v>
      </c>
      <c r="B239" s="58" t="s">
        <v>72</v>
      </c>
      <c r="C239" s="51">
        <v>310</v>
      </c>
      <c r="D239" s="33">
        <f t="shared" si="59"/>
        <v>127405</v>
      </c>
      <c r="E239" s="33">
        <f t="shared" si="60"/>
        <v>22990</v>
      </c>
      <c r="F239" s="33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33">
        <v>127405</v>
      </c>
      <c r="T239" s="81">
        <v>22990</v>
      </c>
    </row>
    <row r="240" spans="1:20" s="6" customFormat="1" ht="16.5" x14ac:dyDescent="0.25">
      <c r="A240" s="63" t="s">
        <v>258</v>
      </c>
      <c r="B240" s="58" t="s">
        <v>243</v>
      </c>
      <c r="C240" s="51">
        <v>340</v>
      </c>
      <c r="D240" s="33">
        <f t="shared" si="59"/>
        <v>2918564.96</v>
      </c>
      <c r="E240" s="33">
        <f t="shared" si="60"/>
        <v>725822.35</v>
      </c>
      <c r="F240" s="33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33">
        <v>2918564.96</v>
      </c>
      <c r="T240" s="81">
        <v>725822.35</v>
      </c>
    </row>
    <row r="241" spans="1:20" s="18" customFormat="1" ht="17.25" x14ac:dyDescent="0.25">
      <c r="A241" s="61" t="s">
        <v>259</v>
      </c>
      <c r="B241" s="62" t="s">
        <v>41</v>
      </c>
      <c r="C241" s="49"/>
      <c r="D241" s="34">
        <f t="shared" ref="D241:R241" si="63">SUM(D242+D243+D244+D245+D246+D247+D251+D252+D253+D254+D255+D256+D257+D258)</f>
        <v>16138844.84</v>
      </c>
      <c r="E241" s="34">
        <f t="shared" si="63"/>
        <v>3437198.73</v>
      </c>
      <c r="F241" s="34"/>
      <c r="G241" s="34">
        <f t="shared" si="63"/>
        <v>0</v>
      </c>
      <c r="H241" s="34">
        <f t="shared" si="63"/>
        <v>0</v>
      </c>
      <c r="I241" s="34">
        <f t="shared" si="63"/>
        <v>0</v>
      </c>
      <c r="J241" s="34">
        <f t="shared" si="63"/>
        <v>0</v>
      </c>
      <c r="K241" s="34">
        <f t="shared" si="63"/>
        <v>0</v>
      </c>
      <c r="L241" s="34">
        <f t="shared" si="63"/>
        <v>0</v>
      </c>
      <c r="M241" s="34">
        <f t="shared" si="63"/>
        <v>0</v>
      </c>
      <c r="N241" s="34">
        <f t="shared" si="63"/>
        <v>0</v>
      </c>
      <c r="O241" s="34">
        <f t="shared" si="63"/>
        <v>0</v>
      </c>
      <c r="P241" s="34">
        <f t="shared" si="63"/>
        <v>0</v>
      </c>
      <c r="Q241" s="34">
        <f t="shared" si="63"/>
        <v>0</v>
      </c>
      <c r="R241" s="34">
        <f t="shared" si="63"/>
        <v>0</v>
      </c>
      <c r="S241" s="34">
        <f>SUM(S242+S243+S244+S245+S246+S247+S251+S252+S253+S254+S255+S256+S257+S258)</f>
        <v>16138844.84</v>
      </c>
      <c r="T241" s="34">
        <f>SUM(T242+T243+T244+T245+T246+T247+T251+T252+T253+T254+T255+T256+T257+T258)</f>
        <v>3437198.73</v>
      </c>
    </row>
    <row r="242" spans="1:20" s="6" customFormat="1" ht="16.5" x14ac:dyDescent="0.25">
      <c r="A242" s="63" t="s">
        <v>260</v>
      </c>
      <c r="B242" s="28" t="s">
        <v>47</v>
      </c>
      <c r="C242" s="51">
        <v>211</v>
      </c>
      <c r="D242" s="33">
        <f t="shared" si="59"/>
        <v>485877.84</v>
      </c>
      <c r="E242" s="33">
        <f t="shared" si="60"/>
        <v>3407.05</v>
      </c>
      <c r="F242" s="33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33">
        <v>485877.84</v>
      </c>
      <c r="T242" s="81">
        <v>3407.05</v>
      </c>
    </row>
    <row r="243" spans="1:20" s="6" customFormat="1" ht="16.5" x14ac:dyDescent="0.25">
      <c r="A243" s="63" t="s">
        <v>261</v>
      </c>
      <c r="B243" s="28" t="s">
        <v>49</v>
      </c>
      <c r="C243" s="51">
        <v>212</v>
      </c>
      <c r="D243" s="33">
        <f t="shared" si="59"/>
        <v>240.74</v>
      </c>
      <c r="E243" s="33">
        <f t="shared" si="60"/>
        <v>20300</v>
      </c>
      <c r="F243" s="33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33">
        <v>240.74</v>
      </c>
      <c r="T243" s="81">
        <v>20300</v>
      </c>
    </row>
    <row r="244" spans="1:20" s="6" customFormat="1" ht="16.5" x14ac:dyDescent="0.25">
      <c r="A244" s="63" t="s">
        <v>262</v>
      </c>
      <c r="B244" s="28" t="s">
        <v>51</v>
      </c>
      <c r="C244" s="51">
        <v>213</v>
      </c>
      <c r="D244" s="33">
        <f t="shared" si="59"/>
        <v>146735.10999999999</v>
      </c>
      <c r="E244" s="33">
        <f t="shared" si="60"/>
        <v>0</v>
      </c>
      <c r="F244" s="33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33">
        <v>146735.10999999999</v>
      </c>
      <c r="T244" s="81"/>
    </row>
    <row r="245" spans="1:20" s="6" customFormat="1" ht="16.5" x14ac:dyDescent="0.25">
      <c r="A245" s="63" t="s">
        <v>263</v>
      </c>
      <c r="B245" s="28" t="s">
        <v>53</v>
      </c>
      <c r="C245" s="51">
        <v>221</v>
      </c>
      <c r="D245" s="33">
        <f t="shared" si="59"/>
        <v>179592.5</v>
      </c>
      <c r="E245" s="33">
        <f t="shared" si="60"/>
        <v>23282.78</v>
      </c>
      <c r="F245" s="33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33">
        <v>179592.5</v>
      </c>
      <c r="T245" s="81">
        <v>23282.78</v>
      </c>
    </row>
    <row r="246" spans="1:20" s="6" customFormat="1" ht="16.5" x14ac:dyDescent="0.25">
      <c r="A246" s="63" t="s">
        <v>264</v>
      </c>
      <c r="B246" s="28" t="s">
        <v>55</v>
      </c>
      <c r="C246" s="51">
        <v>222</v>
      </c>
      <c r="D246" s="33">
        <f t="shared" si="59"/>
        <v>18000</v>
      </c>
      <c r="E246" s="33">
        <f t="shared" si="60"/>
        <v>60000</v>
      </c>
      <c r="F246" s="33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33">
        <v>18000</v>
      </c>
      <c r="T246" s="81">
        <v>60000</v>
      </c>
    </row>
    <row r="247" spans="1:20" s="6" customFormat="1" ht="16.5" x14ac:dyDescent="0.25">
      <c r="A247" s="63" t="s">
        <v>265</v>
      </c>
      <c r="B247" s="28" t="s">
        <v>57</v>
      </c>
      <c r="C247" s="51">
        <v>223</v>
      </c>
      <c r="D247" s="33">
        <f t="shared" si="59"/>
        <v>0</v>
      </c>
      <c r="E247" s="33">
        <f t="shared" si="60"/>
        <v>1383.9</v>
      </c>
      <c r="F247" s="33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33"/>
      <c r="T247" s="81">
        <f>SUM(T248:T250)</f>
        <v>1383.9</v>
      </c>
    </row>
    <row r="248" spans="1:20" s="6" customFormat="1" ht="16.5" hidden="1" x14ac:dyDescent="0.25">
      <c r="A248" s="63"/>
      <c r="B248" s="58" t="s">
        <v>213</v>
      </c>
      <c r="C248" s="51">
        <v>223</v>
      </c>
      <c r="D248" s="33">
        <f t="shared" si="59"/>
        <v>0</v>
      </c>
      <c r="E248" s="33">
        <f t="shared" si="60"/>
        <v>1383.9</v>
      </c>
      <c r="F248" s="33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33"/>
      <c r="T248" s="81">
        <v>1383.9</v>
      </c>
    </row>
    <row r="249" spans="1:20" s="6" customFormat="1" ht="16.5" hidden="1" x14ac:dyDescent="0.25">
      <c r="A249" s="63"/>
      <c r="B249" s="58" t="s">
        <v>214</v>
      </c>
      <c r="C249" s="51">
        <v>223</v>
      </c>
      <c r="D249" s="33">
        <f t="shared" si="59"/>
        <v>0</v>
      </c>
      <c r="E249" s="33">
        <f t="shared" si="60"/>
        <v>0</v>
      </c>
      <c r="F249" s="33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33"/>
      <c r="T249" s="81"/>
    </row>
    <row r="250" spans="1:20" s="6" customFormat="1" ht="16.5" hidden="1" x14ac:dyDescent="0.25">
      <c r="A250" s="63"/>
      <c r="B250" s="58" t="s">
        <v>215</v>
      </c>
      <c r="C250" s="51">
        <v>223</v>
      </c>
      <c r="D250" s="33">
        <f t="shared" si="59"/>
        <v>0</v>
      </c>
      <c r="E250" s="33">
        <f t="shared" si="60"/>
        <v>0</v>
      </c>
      <c r="F250" s="33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33"/>
      <c r="T250" s="81"/>
    </row>
    <row r="251" spans="1:20" s="6" customFormat="1" ht="16.5" x14ac:dyDescent="0.25">
      <c r="A251" s="63" t="s">
        <v>266</v>
      </c>
      <c r="B251" s="58" t="s">
        <v>217</v>
      </c>
      <c r="C251" s="51">
        <v>224</v>
      </c>
      <c r="D251" s="33">
        <f t="shared" si="59"/>
        <v>0</v>
      </c>
      <c r="E251" s="33">
        <f t="shared" si="60"/>
        <v>0</v>
      </c>
      <c r="F251" s="33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33"/>
      <c r="T251" s="81"/>
    </row>
    <row r="252" spans="1:20" s="6" customFormat="1" ht="16.5" x14ac:dyDescent="0.25">
      <c r="A252" s="63" t="s">
        <v>267</v>
      </c>
      <c r="B252" s="58" t="s">
        <v>219</v>
      </c>
      <c r="C252" s="51">
        <v>225</v>
      </c>
      <c r="D252" s="33">
        <f t="shared" si="59"/>
        <v>0</v>
      </c>
      <c r="E252" s="33">
        <f t="shared" si="60"/>
        <v>0</v>
      </c>
      <c r="F252" s="33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33"/>
      <c r="T252" s="81"/>
    </row>
    <row r="253" spans="1:20" s="6" customFormat="1" ht="16.5" x14ac:dyDescent="0.25">
      <c r="A253" s="63" t="s">
        <v>268</v>
      </c>
      <c r="B253" s="28" t="s">
        <v>64</v>
      </c>
      <c r="C253" s="51">
        <v>225</v>
      </c>
      <c r="D253" s="33">
        <f t="shared" si="59"/>
        <v>1153391.04</v>
      </c>
      <c r="E253" s="33">
        <f t="shared" si="60"/>
        <v>251172.21</v>
      </c>
      <c r="F253" s="33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33">
        <v>1153391.04</v>
      </c>
      <c r="T253" s="81">
        <v>251172.21</v>
      </c>
    </row>
    <row r="254" spans="1:20" s="6" customFormat="1" ht="16.5" x14ac:dyDescent="0.25">
      <c r="A254" s="63" t="s">
        <v>269</v>
      </c>
      <c r="B254" s="28" t="s">
        <v>66</v>
      </c>
      <c r="C254" s="51">
        <v>226</v>
      </c>
      <c r="D254" s="33">
        <f t="shared" si="59"/>
        <v>4149310.48</v>
      </c>
      <c r="E254" s="33">
        <f t="shared" si="60"/>
        <v>1465994.75</v>
      </c>
      <c r="F254" s="33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33">
        <v>4149310.48</v>
      </c>
      <c r="T254" s="81">
        <v>1465994.75</v>
      </c>
    </row>
    <row r="255" spans="1:20" s="6" customFormat="1" ht="16.5" x14ac:dyDescent="0.25">
      <c r="A255" s="63" t="s">
        <v>270</v>
      </c>
      <c r="B255" s="58" t="s">
        <v>225</v>
      </c>
      <c r="C255" s="51">
        <v>226</v>
      </c>
      <c r="D255" s="33">
        <f t="shared" si="59"/>
        <v>507071.95</v>
      </c>
      <c r="E255" s="33">
        <f t="shared" si="60"/>
        <v>0</v>
      </c>
      <c r="F255" s="33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33">
        <v>507071.95</v>
      </c>
      <c r="T255" s="81"/>
    </row>
    <row r="256" spans="1:20" s="6" customFormat="1" ht="16.5" x14ac:dyDescent="0.25">
      <c r="A256" s="63" t="s">
        <v>271</v>
      </c>
      <c r="B256" s="28" t="s">
        <v>68</v>
      </c>
      <c r="C256" s="51">
        <v>290</v>
      </c>
      <c r="D256" s="33">
        <f t="shared" si="59"/>
        <v>1928599.59</v>
      </c>
      <c r="E256" s="33">
        <f t="shared" si="60"/>
        <v>30915.739999999998</v>
      </c>
      <c r="F256" s="33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33">
        <v>1928599.59</v>
      </c>
      <c r="T256" s="81">
        <f>2730+17215.01+2350+8620.73</f>
        <v>30915.739999999998</v>
      </c>
    </row>
    <row r="257" spans="1:20" s="6" customFormat="1" ht="16.5" x14ac:dyDescent="0.25">
      <c r="A257" s="63" t="s">
        <v>272</v>
      </c>
      <c r="B257" s="58" t="s">
        <v>72</v>
      </c>
      <c r="C257" s="51">
        <v>310</v>
      </c>
      <c r="D257" s="33">
        <f t="shared" si="59"/>
        <v>1994442.2</v>
      </c>
      <c r="E257" s="33">
        <f t="shared" si="60"/>
        <v>157379.6</v>
      </c>
      <c r="F257" s="33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33">
        <v>1994442.2</v>
      </c>
      <c r="T257" s="81">
        <v>157379.6</v>
      </c>
    </row>
    <row r="258" spans="1:20" s="6" customFormat="1" ht="16.5" x14ac:dyDescent="0.25">
      <c r="A258" s="63" t="s">
        <v>273</v>
      </c>
      <c r="B258" s="58" t="s">
        <v>243</v>
      </c>
      <c r="C258" s="51">
        <v>340</v>
      </c>
      <c r="D258" s="33">
        <f t="shared" si="59"/>
        <v>5575583.3899999997</v>
      </c>
      <c r="E258" s="33">
        <f t="shared" si="60"/>
        <v>1423362.7</v>
      </c>
      <c r="F258" s="33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33">
        <v>5575583.3899999997</v>
      </c>
      <c r="T258" s="81">
        <v>1423362.7</v>
      </c>
    </row>
    <row r="259" spans="1:20" s="18" customFormat="1" ht="20.25" customHeight="1" x14ac:dyDescent="0.25">
      <c r="A259" s="168" t="s">
        <v>304</v>
      </c>
      <c r="B259" s="168"/>
      <c r="C259" s="49"/>
      <c r="D259" s="34">
        <f t="shared" ref="D259:H259" si="64">SUM(D15+D31-D47)</f>
        <v>0</v>
      </c>
      <c r="E259" s="34">
        <f t="shared" si="64"/>
        <v>33066397.200000048</v>
      </c>
      <c r="F259" s="34"/>
      <c r="G259" s="34">
        <f t="shared" si="64"/>
        <v>0</v>
      </c>
      <c r="H259" s="34">
        <f t="shared" si="64"/>
        <v>6609470.4899999946</v>
      </c>
      <c r="I259" s="34">
        <f t="shared" ref="I259" si="65">SUM(I15+I31-I47)</f>
        <v>0</v>
      </c>
      <c r="J259" s="34">
        <f t="shared" ref="J259:T259" si="66">SUM(J15+J31-J47)</f>
        <v>11252874.700000048</v>
      </c>
      <c r="K259" s="34">
        <f t="shared" si="66"/>
        <v>0</v>
      </c>
      <c r="L259" s="34">
        <f>SUM(L15+L31-L47)</f>
        <v>80078.600000000093</v>
      </c>
      <c r="M259" s="34">
        <f t="shared" si="66"/>
        <v>0</v>
      </c>
      <c r="N259" s="34">
        <f t="shared" si="66"/>
        <v>24006.070000000065</v>
      </c>
      <c r="O259" s="34">
        <f t="shared" si="66"/>
        <v>0</v>
      </c>
      <c r="P259" s="34">
        <f t="shared" si="66"/>
        <v>909729.23000000045</v>
      </c>
      <c r="Q259" s="34">
        <f t="shared" si="66"/>
        <v>0</v>
      </c>
      <c r="R259" s="34">
        <f t="shared" si="66"/>
        <v>245.78</v>
      </c>
      <c r="S259" s="34">
        <f t="shared" si="66"/>
        <v>0</v>
      </c>
      <c r="T259" s="34">
        <f t="shared" si="66"/>
        <v>14189992.330000002</v>
      </c>
    </row>
    <row r="260" spans="1:20" s="18" customFormat="1" ht="34.5" x14ac:dyDescent="0.25">
      <c r="A260" s="47" t="s">
        <v>17</v>
      </c>
      <c r="B260" s="48" t="s">
        <v>18</v>
      </c>
      <c r="C260" s="49"/>
      <c r="D260" s="34">
        <f t="shared" ref="D260:H260" si="67">D16+D32-D48</f>
        <v>0</v>
      </c>
      <c r="E260" s="34">
        <f t="shared" si="67"/>
        <v>18258740.640000105</v>
      </c>
      <c r="F260" s="34"/>
      <c r="G260" s="34">
        <f t="shared" si="67"/>
        <v>0</v>
      </c>
      <c r="H260" s="34">
        <f t="shared" si="67"/>
        <v>5992052.0399999917</v>
      </c>
      <c r="I260" s="34">
        <f t="shared" ref="I260:I261" si="68">I16+I32-I48</f>
        <v>0</v>
      </c>
      <c r="J260" s="34">
        <f t="shared" ref="J260:T260" si="69">J16+J32-J48</f>
        <v>11252874.700000048</v>
      </c>
      <c r="K260" s="34">
        <f t="shared" si="69"/>
        <v>0</v>
      </c>
      <c r="L260" s="34">
        <f t="shared" si="69"/>
        <v>80078.600000000093</v>
      </c>
      <c r="M260" s="34">
        <f t="shared" si="69"/>
        <v>0</v>
      </c>
      <c r="N260" s="34">
        <f t="shared" si="69"/>
        <v>24006.070000000065</v>
      </c>
      <c r="O260" s="34">
        <f t="shared" si="69"/>
        <v>0</v>
      </c>
      <c r="P260" s="34">
        <f t="shared" si="69"/>
        <v>909729.23000000045</v>
      </c>
      <c r="Q260" s="34">
        <f t="shared" si="69"/>
        <v>0</v>
      </c>
      <c r="R260" s="34">
        <f t="shared" si="69"/>
        <v>0</v>
      </c>
      <c r="S260" s="34">
        <f t="shared" si="69"/>
        <v>0</v>
      </c>
      <c r="T260" s="34">
        <f t="shared" si="69"/>
        <v>0</v>
      </c>
    </row>
    <row r="261" spans="1:20" s="6" customFormat="1" ht="16.5" x14ac:dyDescent="0.25">
      <c r="A261" s="50" t="s">
        <v>19</v>
      </c>
      <c r="B261" s="28" t="s">
        <v>274</v>
      </c>
      <c r="C261" s="51"/>
      <c r="D261" s="33">
        <f t="shared" ref="D261:H261" si="70">D17+D33-D49</f>
        <v>0</v>
      </c>
      <c r="E261" s="33">
        <f t="shared" si="70"/>
        <v>15255026.560000062</v>
      </c>
      <c r="F261" s="33"/>
      <c r="G261" s="33">
        <f t="shared" si="70"/>
        <v>0</v>
      </c>
      <c r="H261" s="33">
        <f t="shared" si="70"/>
        <v>2988337.9599999934</v>
      </c>
      <c r="I261" s="33">
        <f t="shared" si="68"/>
        <v>0</v>
      </c>
      <c r="J261" s="33">
        <f t="shared" ref="J261:T261" si="71">J17+J33-J49</f>
        <v>11252874.700000048</v>
      </c>
      <c r="K261" s="33">
        <f t="shared" si="71"/>
        <v>0</v>
      </c>
      <c r="L261" s="33">
        <f t="shared" si="71"/>
        <v>80078.600000000093</v>
      </c>
      <c r="M261" s="33">
        <f t="shared" si="71"/>
        <v>0</v>
      </c>
      <c r="N261" s="33">
        <f t="shared" si="71"/>
        <v>24006.070000000065</v>
      </c>
      <c r="O261" s="33">
        <f t="shared" si="71"/>
        <v>0</v>
      </c>
      <c r="P261" s="33">
        <f t="shared" si="71"/>
        <v>909729.23000000045</v>
      </c>
      <c r="Q261" s="33">
        <f t="shared" si="71"/>
        <v>0</v>
      </c>
      <c r="R261" s="33">
        <f t="shared" si="71"/>
        <v>0</v>
      </c>
      <c r="S261" s="33">
        <f t="shared" si="71"/>
        <v>0</v>
      </c>
      <c r="T261" s="33">
        <f t="shared" si="71"/>
        <v>0</v>
      </c>
    </row>
    <row r="262" spans="1:20" s="6" customFormat="1" ht="16.5" x14ac:dyDescent="0.25">
      <c r="A262" s="50" t="s">
        <v>21</v>
      </c>
      <c r="B262" s="28" t="s">
        <v>22</v>
      </c>
      <c r="C262" s="51"/>
      <c r="D262" s="33">
        <f t="shared" ref="D262:H262" si="72">SUM(D18+D34-D78)</f>
        <v>0</v>
      </c>
      <c r="E262" s="33">
        <f t="shared" si="72"/>
        <v>3003714.0800000019</v>
      </c>
      <c r="F262" s="33"/>
      <c r="G262" s="33">
        <f t="shared" si="72"/>
        <v>0</v>
      </c>
      <c r="H262" s="33">
        <f t="shared" si="72"/>
        <v>3003714.0800000019</v>
      </c>
      <c r="I262" s="33">
        <f t="shared" ref="I262" si="73">SUM(I18+I34-I78)</f>
        <v>0</v>
      </c>
      <c r="J262" s="33">
        <f t="shared" ref="J262:T262" si="74">SUM(J18+J34-J78)</f>
        <v>0</v>
      </c>
      <c r="K262" s="33">
        <f t="shared" si="74"/>
        <v>0</v>
      </c>
      <c r="L262" s="33">
        <f t="shared" si="74"/>
        <v>0</v>
      </c>
      <c r="M262" s="33">
        <f t="shared" si="74"/>
        <v>0</v>
      </c>
      <c r="N262" s="33">
        <f t="shared" si="74"/>
        <v>0</v>
      </c>
      <c r="O262" s="33">
        <f t="shared" si="74"/>
        <v>0</v>
      </c>
      <c r="P262" s="33">
        <f t="shared" si="74"/>
        <v>0</v>
      </c>
      <c r="Q262" s="33">
        <f t="shared" si="74"/>
        <v>0</v>
      </c>
      <c r="R262" s="33">
        <f t="shared" si="74"/>
        <v>0</v>
      </c>
      <c r="S262" s="33">
        <f t="shared" si="74"/>
        <v>0</v>
      </c>
      <c r="T262" s="33">
        <f t="shared" si="74"/>
        <v>0</v>
      </c>
    </row>
    <row r="263" spans="1:20" s="6" customFormat="1" ht="16.5" hidden="1" x14ac:dyDescent="0.25">
      <c r="A263" s="52"/>
      <c r="B263" s="28"/>
      <c r="C263" s="51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</row>
    <row r="264" spans="1:20" s="18" customFormat="1" ht="17.25" x14ac:dyDescent="0.25">
      <c r="A264" s="53" t="s">
        <v>25</v>
      </c>
      <c r="B264" s="48" t="s">
        <v>26</v>
      </c>
      <c r="C264" s="49"/>
      <c r="D264" s="34">
        <f t="shared" ref="D264:H264" si="75">D20+D36-D84</f>
        <v>0</v>
      </c>
      <c r="E264" s="34">
        <f t="shared" si="75"/>
        <v>617664.22999999858</v>
      </c>
      <c r="F264" s="34"/>
      <c r="G264" s="34">
        <f t="shared" si="75"/>
        <v>0</v>
      </c>
      <c r="H264" s="34">
        <f t="shared" si="75"/>
        <v>617418.44999999925</v>
      </c>
      <c r="I264" s="34">
        <f t="shared" ref="I264:I265" si="76">I20+I36-I84</f>
        <v>0</v>
      </c>
      <c r="J264" s="34">
        <f t="shared" ref="J264:T264" si="77">J20+J36-J84</f>
        <v>0</v>
      </c>
      <c r="K264" s="34">
        <f t="shared" si="77"/>
        <v>0</v>
      </c>
      <c r="L264" s="34">
        <f t="shared" si="77"/>
        <v>0</v>
      </c>
      <c r="M264" s="34">
        <f t="shared" si="77"/>
        <v>0</v>
      </c>
      <c r="N264" s="34">
        <f t="shared" si="77"/>
        <v>0</v>
      </c>
      <c r="O264" s="34">
        <f t="shared" si="77"/>
        <v>0</v>
      </c>
      <c r="P264" s="34">
        <f t="shared" si="77"/>
        <v>0</v>
      </c>
      <c r="Q264" s="34">
        <f t="shared" si="77"/>
        <v>0</v>
      </c>
      <c r="R264" s="34">
        <f t="shared" si="77"/>
        <v>245.78</v>
      </c>
      <c r="S264" s="34">
        <f t="shared" si="77"/>
        <v>0</v>
      </c>
      <c r="T264" s="34">
        <f t="shared" si="77"/>
        <v>0</v>
      </c>
    </row>
    <row r="265" spans="1:20" s="6" customFormat="1" ht="49.5" x14ac:dyDescent="0.25">
      <c r="A265" s="73" t="s">
        <v>27</v>
      </c>
      <c r="B265" s="58" t="s">
        <v>83</v>
      </c>
      <c r="C265" s="51"/>
      <c r="D265" s="33">
        <f t="shared" ref="D265:H265" si="78">D21+D37-D85</f>
        <v>0</v>
      </c>
      <c r="E265" s="33">
        <f t="shared" si="78"/>
        <v>516844.20000000019</v>
      </c>
      <c r="F265" s="33"/>
      <c r="G265" s="33">
        <f t="shared" si="78"/>
        <v>0</v>
      </c>
      <c r="H265" s="33">
        <f t="shared" si="78"/>
        <v>516598.41999999993</v>
      </c>
      <c r="I265" s="33">
        <f t="shared" si="76"/>
        <v>0</v>
      </c>
      <c r="J265" s="33">
        <f t="shared" ref="J265:T265" si="79">J21+J37-J85</f>
        <v>0</v>
      </c>
      <c r="K265" s="33">
        <f t="shared" si="79"/>
        <v>0</v>
      </c>
      <c r="L265" s="33">
        <f t="shared" si="79"/>
        <v>0</v>
      </c>
      <c r="M265" s="33">
        <f t="shared" si="79"/>
        <v>0</v>
      </c>
      <c r="N265" s="33">
        <f t="shared" si="79"/>
        <v>0</v>
      </c>
      <c r="O265" s="33">
        <f t="shared" si="79"/>
        <v>0</v>
      </c>
      <c r="P265" s="33">
        <f t="shared" si="79"/>
        <v>0</v>
      </c>
      <c r="Q265" s="33">
        <f t="shared" si="79"/>
        <v>0</v>
      </c>
      <c r="R265" s="33">
        <f t="shared" si="79"/>
        <v>245.78</v>
      </c>
      <c r="S265" s="33">
        <f t="shared" si="79"/>
        <v>0</v>
      </c>
      <c r="T265" s="33">
        <f t="shared" si="79"/>
        <v>0</v>
      </c>
    </row>
    <row r="266" spans="1:20" s="6" customFormat="1" ht="33" x14ac:dyDescent="0.25">
      <c r="A266" s="73" t="s">
        <v>29</v>
      </c>
      <c r="B266" s="58" t="s">
        <v>44</v>
      </c>
      <c r="C266" s="51"/>
      <c r="D266" s="33">
        <f t="shared" ref="D266:H266" si="80">D22+D38-D165</f>
        <v>0</v>
      </c>
      <c r="E266" s="33">
        <f t="shared" si="80"/>
        <v>0</v>
      </c>
      <c r="F266" s="33"/>
      <c r="G266" s="33">
        <f t="shared" si="80"/>
        <v>0</v>
      </c>
      <c r="H266" s="33">
        <f t="shared" si="80"/>
        <v>0</v>
      </c>
      <c r="I266" s="33">
        <f t="shared" ref="I266" si="81">I22+I38-I165</f>
        <v>0</v>
      </c>
      <c r="J266" s="33">
        <f t="shared" ref="J266:T266" si="82">J22+J38-J165</f>
        <v>0</v>
      </c>
      <c r="K266" s="33">
        <f t="shared" si="82"/>
        <v>0</v>
      </c>
      <c r="L266" s="33">
        <f t="shared" si="82"/>
        <v>0</v>
      </c>
      <c r="M266" s="33">
        <f t="shared" si="82"/>
        <v>0</v>
      </c>
      <c r="N266" s="33">
        <f t="shared" si="82"/>
        <v>0</v>
      </c>
      <c r="O266" s="33">
        <f t="shared" si="82"/>
        <v>0</v>
      </c>
      <c r="P266" s="33">
        <f t="shared" si="82"/>
        <v>0</v>
      </c>
      <c r="Q266" s="33">
        <f t="shared" si="82"/>
        <v>0</v>
      </c>
      <c r="R266" s="33">
        <f t="shared" si="82"/>
        <v>0</v>
      </c>
      <c r="S266" s="33">
        <f t="shared" si="82"/>
        <v>0</v>
      </c>
      <c r="T266" s="33">
        <f t="shared" si="82"/>
        <v>0</v>
      </c>
    </row>
    <row r="267" spans="1:20" s="6" customFormat="1" ht="66" x14ac:dyDescent="0.25">
      <c r="A267" s="73" t="s">
        <v>31</v>
      </c>
      <c r="B267" s="28" t="s">
        <v>189</v>
      </c>
      <c r="C267" s="51"/>
      <c r="D267" s="33">
        <f t="shared" ref="D267:H267" si="83">D23+D39-D168</f>
        <v>0</v>
      </c>
      <c r="E267" s="33">
        <f t="shared" si="83"/>
        <v>0</v>
      </c>
      <c r="F267" s="33"/>
      <c r="G267" s="33">
        <f t="shared" si="83"/>
        <v>0</v>
      </c>
      <c r="H267" s="33">
        <f t="shared" si="83"/>
        <v>0</v>
      </c>
      <c r="I267" s="33">
        <f t="shared" ref="I267" si="84">I23+I39-I168</f>
        <v>0</v>
      </c>
      <c r="J267" s="33">
        <f t="shared" ref="J267:T267" si="85">J23+J39-J168</f>
        <v>0</v>
      </c>
      <c r="K267" s="33">
        <f t="shared" si="85"/>
        <v>0</v>
      </c>
      <c r="L267" s="33">
        <f t="shared" si="85"/>
        <v>0</v>
      </c>
      <c r="M267" s="33">
        <f t="shared" si="85"/>
        <v>0</v>
      </c>
      <c r="N267" s="33">
        <f t="shared" si="85"/>
        <v>0</v>
      </c>
      <c r="O267" s="33">
        <f t="shared" si="85"/>
        <v>0</v>
      </c>
      <c r="P267" s="33">
        <f t="shared" si="85"/>
        <v>0</v>
      </c>
      <c r="Q267" s="33">
        <f t="shared" si="85"/>
        <v>0</v>
      </c>
      <c r="R267" s="33">
        <f t="shared" si="85"/>
        <v>0</v>
      </c>
      <c r="S267" s="33">
        <f t="shared" si="85"/>
        <v>0</v>
      </c>
      <c r="T267" s="33">
        <f t="shared" si="85"/>
        <v>0</v>
      </c>
    </row>
    <row r="268" spans="1:20" s="6" customFormat="1" ht="33" x14ac:dyDescent="0.25">
      <c r="A268" s="73" t="s">
        <v>33</v>
      </c>
      <c r="B268" s="58" t="s">
        <v>34</v>
      </c>
      <c r="C268" s="51"/>
      <c r="D268" s="33">
        <f t="shared" ref="D268:H268" si="86">D24+D40-D174</f>
        <v>0</v>
      </c>
      <c r="E268" s="33">
        <f t="shared" si="86"/>
        <v>100820.0299999998</v>
      </c>
      <c r="F268" s="33"/>
      <c r="G268" s="33">
        <f t="shared" si="86"/>
        <v>0</v>
      </c>
      <c r="H268" s="33">
        <f t="shared" si="86"/>
        <v>100820.0299999998</v>
      </c>
      <c r="I268" s="33">
        <f t="shared" ref="I268" si="87">I24+I40-I174</f>
        <v>0</v>
      </c>
      <c r="J268" s="33">
        <f t="shared" ref="J268:T268" si="88">J24+J40-J174</f>
        <v>0</v>
      </c>
      <c r="K268" s="33">
        <f t="shared" si="88"/>
        <v>0</v>
      </c>
      <c r="L268" s="33">
        <f t="shared" si="88"/>
        <v>0</v>
      </c>
      <c r="M268" s="33">
        <f t="shared" si="88"/>
        <v>0</v>
      </c>
      <c r="N268" s="33">
        <f t="shared" si="88"/>
        <v>0</v>
      </c>
      <c r="O268" s="33">
        <f t="shared" si="88"/>
        <v>0</v>
      </c>
      <c r="P268" s="33">
        <f t="shared" si="88"/>
        <v>0</v>
      </c>
      <c r="Q268" s="33">
        <f t="shared" si="88"/>
        <v>0</v>
      </c>
      <c r="R268" s="33">
        <f t="shared" si="88"/>
        <v>0</v>
      </c>
      <c r="S268" s="33">
        <f t="shared" si="88"/>
        <v>0</v>
      </c>
      <c r="T268" s="33">
        <f t="shared" si="88"/>
        <v>0</v>
      </c>
    </row>
    <row r="269" spans="1:20" s="6" customFormat="1" ht="49.5" x14ac:dyDescent="0.25">
      <c r="A269" s="73" t="s">
        <v>35</v>
      </c>
      <c r="B269" s="58" t="s">
        <v>36</v>
      </c>
      <c r="C269" s="51"/>
      <c r="D269" s="33">
        <f t="shared" ref="D269:H269" si="89">D25+D41-D180</f>
        <v>0</v>
      </c>
      <c r="E269" s="33">
        <f t="shared" si="89"/>
        <v>0</v>
      </c>
      <c r="F269" s="33"/>
      <c r="G269" s="33">
        <f t="shared" si="89"/>
        <v>0</v>
      </c>
      <c r="H269" s="33">
        <f t="shared" si="89"/>
        <v>0</v>
      </c>
      <c r="I269" s="33">
        <f t="shared" ref="I269" si="90">I25+I41-I180</f>
        <v>0</v>
      </c>
      <c r="J269" s="33">
        <f t="shared" ref="J269:T269" si="91">J25+J41-J180</f>
        <v>0</v>
      </c>
      <c r="K269" s="33">
        <f t="shared" si="91"/>
        <v>0</v>
      </c>
      <c r="L269" s="33">
        <f t="shared" si="91"/>
        <v>0</v>
      </c>
      <c r="M269" s="33">
        <f t="shared" si="91"/>
        <v>0</v>
      </c>
      <c r="N269" s="33">
        <f t="shared" si="91"/>
        <v>0</v>
      </c>
      <c r="O269" s="33">
        <f t="shared" si="91"/>
        <v>0</v>
      </c>
      <c r="P269" s="33">
        <f t="shared" si="91"/>
        <v>0</v>
      </c>
      <c r="Q269" s="33">
        <f t="shared" si="91"/>
        <v>0</v>
      </c>
      <c r="R269" s="33">
        <f t="shared" si="91"/>
        <v>0</v>
      </c>
      <c r="S269" s="33">
        <f t="shared" si="91"/>
        <v>0</v>
      </c>
      <c r="T269" s="33">
        <f t="shared" si="91"/>
        <v>0</v>
      </c>
    </row>
    <row r="270" spans="1:20" s="18" customFormat="1" ht="17.25" x14ac:dyDescent="0.25">
      <c r="A270" s="47">
        <v>3</v>
      </c>
      <c r="B270" s="62" t="s">
        <v>37</v>
      </c>
      <c r="C270" s="49"/>
      <c r="D270" s="34">
        <v>0</v>
      </c>
      <c r="E270" s="34">
        <v>0</v>
      </c>
      <c r="F270" s="34"/>
      <c r="G270" s="34">
        <v>0</v>
      </c>
      <c r="H270" s="34">
        <v>0</v>
      </c>
      <c r="I270" s="34">
        <v>0</v>
      </c>
      <c r="J270" s="34">
        <v>0</v>
      </c>
      <c r="K270" s="34">
        <v>0</v>
      </c>
      <c r="L270" s="34">
        <v>0</v>
      </c>
      <c r="M270" s="34">
        <v>0</v>
      </c>
      <c r="N270" s="34">
        <v>0</v>
      </c>
      <c r="O270" s="34">
        <v>0</v>
      </c>
      <c r="P270" s="34">
        <v>0</v>
      </c>
      <c r="Q270" s="34">
        <v>0</v>
      </c>
      <c r="R270" s="34">
        <v>0</v>
      </c>
      <c r="S270" s="34">
        <v>0</v>
      </c>
      <c r="T270" s="34">
        <v>0</v>
      </c>
    </row>
    <row r="271" spans="1:20" s="18" customFormat="1" ht="17.25" x14ac:dyDescent="0.25">
      <c r="A271" s="47">
        <v>4</v>
      </c>
      <c r="B271" s="62" t="s">
        <v>38</v>
      </c>
      <c r="C271" s="49"/>
      <c r="D271" s="34">
        <f t="shared" ref="D271:H271" si="92">D27+D43-D187</f>
        <v>0</v>
      </c>
      <c r="E271" s="34">
        <f t="shared" si="92"/>
        <v>9090531.9800000042</v>
      </c>
      <c r="F271" s="34"/>
      <c r="G271" s="34">
        <f t="shared" si="92"/>
        <v>0</v>
      </c>
      <c r="H271" s="34">
        <f t="shared" si="92"/>
        <v>0</v>
      </c>
      <c r="I271" s="34">
        <f t="shared" ref="I271" si="93">I27+I43-I187</f>
        <v>0</v>
      </c>
      <c r="J271" s="34">
        <f t="shared" ref="J271:T271" si="94">J27+J43-J187</f>
        <v>0</v>
      </c>
      <c r="K271" s="34">
        <f t="shared" si="94"/>
        <v>0</v>
      </c>
      <c r="L271" s="34">
        <f t="shared" si="94"/>
        <v>0</v>
      </c>
      <c r="M271" s="34">
        <f t="shared" si="94"/>
        <v>0</v>
      </c>
      <c r="N271" s="34">
        <f t="shared" si="94"/>
        <v>0</v>
      </c>
      <c r="O271" s="34">
        <f t="shared" si="94"/>
        <v>0</v>
      </c>
      <c r="P271" s="34">
        <f t="shared" si="94"/>
        <v>0</v>
      </c>
      <c r="Q271" s="34">
        <f t="shared" si="94"/>
        <v>0</v>
      </c>
      <c r="R271" s="34">
        <f t="shared" si="94"/>
        <v>0</v>
      </c>
      <c r="S271" s="34">
        <f t="shared" si="94"/>
        <v>0</v>
      </c>
      <c r="T271" s="34">
        <f t="shared" si="94"/>
        <v>9090531.9800000042</v>
      </c>
    </row>
    <row r="272" spans="1:20" s="18" customFormat="1" ht="17.25" x14ac:dyDescent="0.25">
      <c r="A272" s="47">
        <v>5</v>
      </c>
      <c r="B272" s="62" t="s">
        <v>39</v>
      </c>
      <c r="C272" s="49"/>
      <c r="D272" s="34">
        <f t="shared" ref="D272:H272" si="95">D28+D44-D206</f>
        <v>0</v>
      </c>
      <c r="E272" s="34">
        <f t="shared" si="95"/>
        <v>862840.72</v>
      </c>
      <c r="F272" s="34"/>
      <c r="G272" s="34">
        <f t="shared" si="95"/>
        <v>0</v>
      </c>
      <c r="H272" s="34">
        <f t="shared" si="95"/>
        <v>0</v>
      </c>
      <c r="I272" s="34">
        <f t="shared" ref="I272" si="96">I28+I44-I206</f>
        <v>0</v>
      </c>
      <c r="J272" s="34">
        <f t="shared" ref="J272:T272" si="97">J28+J44-J206</f>
        <v>0</v>
      </c>
      <c r="K272" s="34">
        <f t="shared" si="97"/>
        <v>0</v>
      </c>
      <c r="L272" s="34">
        <f t="shared" si="97"/>
        <v>0</v>
      </c>
      <c r="M272" s="34">
        <f t="shared" si="97"/>
        <v>0</v>
      </c>
      <c r="N272" s="34">
        <f t="shared" si="97"/>
        <v>0</v>
      </c>
      <c r="O272" s="34">
        <f t="shared" si="97"/>
        <v>0</v>
      </c>
      <c r="P272" s="34">
        <f t="shared" si="97"/>
        <v>0</v>
      </c>
      <c r="Q272" s="34">
        <f t="shared" si="97"/>
        <v>0</v>
      </c>
      <c r="R272" s="34">
        <f t="shared" si="97"/>
        <v>0</v>
      </c>
      <c r="S272" s="34">
        <f t="shared" si="97"/>
        <v>0</v>
      </c>
      <c r="T272" s="34">
        <f t="shared" si="97"/>
        <v>862840.72</v>
      </c>
    </row>
    <row r="273" spans="1:20" s="18" customFormat="1" ht="17.25" x14ac:dyDescent="0.25">
      <c r="A273" s="47">
        <v>6</v>
      </c>
      <c r="B273" s="62" t="s">
        <v>40</v>
      </c>
      <c r="C273" s="49"/>
      <c r="D273" s="34">
        <f t="shared" ref="D273:H273" si="98">D29+D45-D223</f>
        <v>0</v>
      </c>
      <c r="E273" s="34">
        <f t="shared" si="98"/>
        <v>548551.31000000017</v>
      </c>
      <c r="F273" s="34"/>
      <c r="G273" s="34">
        <f t="shared" si="98"/>
        <v>0</v>
      </c>
      <c r="H273" s="34">
        <f t="shared" si="98"/>
        <v>0</v>
      </c>
      <c r="I273" s="34">
        <f t="shared" ref="I273" si="99">I29+I45-I223</f>
        <v>0</v>
      </c>
      <c r="J273" s="34">
        <f t="shared" ref="J273:T273" si="100">J29+J45-J223</f>
        <v>0</v>
      </c>
      <c r="K273" s="34">
        <f t="shared" si="100"/>
        <v>0</v>
      </c>
      <c r="L273" s="34">
        <f t="shared" si="100"/>
        <v>0</v>
      </c>
      <c r="M273" s="34">
        <f t="shared" si="100"/>
        <v>0</v>
      </c>
      <c r="N273" s="34">
        <f t="shared" si="100"/>
        <v>0</v>
      </c>
      <c r="O273" s="34">
        <f t="shared" si="100"/>
        <v>0</v>
      </c>
      <c r="P273" s="34">
        <f t="shared" si="100"/>
        <v>0</v>
      </c>
      <c r="Q273" s="34">
        <f t="shared" si="100"/>
        <v>0</v>
      </c>
      <c r="R273" s="34">
        <f t="shared" si="100"/>
        <v>0</v>
      </c>
      <c r="S273" s="34">
        <f t="shared" si="100"/>
        <v>0</v>
      </c>
      <c r="T273" s="34">
        <f t="shared" si="100"/>
        <v>548551.31000000017</v>
      </c>
    </row>
    <row r="274" spans="1:20" s="18" customFormat="1" ht="17.25" x14ac:dyDescent="0.25">
      <c r="A274" s="47">
        <v>7</v>
      </c>
      <c r="B274" s="62" t="s">
        <v>41</v>
      </c>
      <c r="C274" s="49"/>
      <c r="D274" s="34">
        <f t="shared" ref="D274:H274" si="101">D30+D46-D241</f>
        <v>0</v>
      </c>
      <c r="E274" s="34">
        <f t="shared" si="101"/>
        <v>3688068.3200000008</v>
      </c>
      <c r="F274" s="34"/>
      <c r="G274" s="34">
        <f t="shared" si="101"/>
        <v>0</v>
      </c>
      <c r="H274" s="34">
        <f t="shared" si="101"/>
        <v>0</v>
      </c>
      <c r="I274" s="34">
        <f t="shared" ref="I274" si="102">I30+I46-I241</f>
        <v>0</v>
      </c>
      <c r="J274" s="34">
        <f t="shared" ref="J274:S274" si="103">J30+J46-J241</f>
        <v>0</v>
      </c>
      <c r="K274" s="34">
        <f t="shared" si="103"/>
        <v>0</v>
      </c>
      <c r="L274" s="34">
        <f t="shared" si="103"/>
        <v>0</v>
      </c>
      <c r="M274" s="34">
        <f t="shared" si="103"/>
        <v>0</v>
      </c>
      <c r="N274" s="34">
        <f t="shared" si="103"/>
        <v>0</v>
      </c>
      <c r="O274" s="34">
        <f t="shared" si="103"/>
        <v>0</v>
      </c>
      <c r="P274" s="34">
        <f t="shared" si="103"/>
        <v>0</v>
      </c>
      <c r="Q274" s="34">
        <f t="shared" si="103"/>
        <v>0</v>
      </c>
      <c r="R274" s="34">
        <f t="shared" si="103"/>
        <v>0</v>
      </c>
      <c r="S274" s="34">
        <f t="shared" si="103"/>
        <v>0</v>
      </c>
      <c r="T274" s="34">
        <f>T30+T46-T241</f>
        <v>3688068.3200000008</v>
      </c>
    </row>
    <row r="275" spans="1:20" ht="29.25" customHeight="1" x14ac:dyDescent="0.25"/>
  </sheetData>
  <mergeCells count="23">
    <mergeCell ref="A15:B15"/>
    <mergeCell ref="A31:B31"/>
    <mergeCell ref="A47:B47"/>
    <mergeCell ref="A259:B259"/>
    <mergeCell ref="A9:S9"/>
    <mergeCell ref="A11:A14"/>
    <mergeCell ref="B11:B14"/>
    <mergeCell ref="C11:C14"/>
    <mergeCell ref="D11:E13"/>
    <mergeCell ref="G11:T11"/>
    <mergeCell ref="G12:H13"/>
    <mergeCell ref="I12:R12"/>
    <mergeCell ref="S12:T13"/>
    <mergeCell ref="I13:J13"/>
    <mergeCell ref="K13:L13"/>
    <mergeCell ref="M13:N13"/>
    <mergeCell ref="O13:P13"/>
    <mergeCell ref="Q13:R13"/>
    <mergeCell ref="M1:U1"/>
    <mergeCell ref="M2:U2"/>
    <mergeCell ref="M3:U3"/>
    <mergeCell ref="A7:T7"/>
    <mergeCell ref="A8:T8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40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Q274"/>
  <sheetViews>
    <sheetView view="pageBreakPreview" topLeftCell="A5" zoomScale="70" zoomScaleNormal="80" zoomScaleSheetLayoutView="70" workbookViewId="0">
      <pane xSplit="3" ySplit="10" topLeftCell="D114" activePane="bottomRight" state="frozen"/>
      <selection activeCell="A5" sqref="A5"/>
      <selection pane="topRight" activeCell="D5" sqref="D5"/>
      <selection pane="bottomLeft" activeCell="A15" sqref="A15"/>
      <selection pane="bottomRight" activeCell="B124" sqref="B124:C128"/>
    </sheetView>
  </sheetViews>
  <sheetFormatPr defaultRowHeight="15" x14ac:dyDescent="0.25"/>
  <cols>
    <col min="1" max="1" width="9" customWidth="1"/>
    <col min="2" max="2" width="73.42578125" customWidth="1"/>
    <col min="3" max="3" width="9.85546875" customWidth="1"/>
    <col min="4" max="4" width="19.7109375" bestFit="1" customWidth="1"/>
    <col min="5" max="5" width="16.85546875" bestFit="1" customWidth="1"/>
    <col min="6" max="6" width="16.85546875" customWidth="1"/>
    <col min="7" max="7" width="17.7109375" bestFit="1" customWidth="1"/>
    <col min="8" max="8" width="16.42578125" bestFit="1" customWidth="1"/>
    <col min="9" max="10" width="17.7109375" bestFit="1" customWidth="1"/>
    <col min="11" max="11" width="15.28515625" bestFit="1" customWidth="1"/>
    <col min="12" max="12" width="12.42578125" bestFit="1" customWidth="1"/>
    <col min="13" max="14" width="13.140625" bestFit="1" customWidth="1"/>
    <col min="15" max="16" width="15.28515625" bestFit="1" customWidth="1"/>
    <col min="17" max="17" width="13.140625" bestFit="1" customWidth="1"/>
    <col min="18" max="18" width="12.28515625" bestFit="1" customWidth="1"/>
    <col min="19" max="20" width="17.7109375" bestFit="1" customWidth="1"/>
  </cols>
  <sheetData>
    <row r="1" spans="1:28" s="6" customFormat="1" ht="33" hidden="1" x14ac:dyDescent="0.25">
      <c r="A1" s="1"/>
      <c r="B1" s="2"/>
      <c r="C1" s="3"/>
      <c r="D1" s="3"/>
      <c r="E1" s="3"/>
      <c r="F1" s="3"/>
      <c r="G1" s="4"/>
      <c r="H1" s="4"/>
      <c r="I1" s="5"/>
      <c r="J1" s="5"/>
      <c r="K1" s="5"/>
      <c r="L1" s="5"/>
      <c r="M1" s="170" t="s">
        <v>0</v>
      </c>
      <c r="N1" s="170"/>
      <c r="O1" s="170"/>
      <c r="P1" s="170"/>
      <c r="Q1" s="170"/>
      <c r="R1" s="170"/>
      <c r="S1" s="170"/>
      <c r="T1" s="170"/>
      <c r="U1" s="170"/>
    </row>
    <row r="2" spans="1:28" s="6" customFormat="1" ht="33" hidden="1" x14ac:dyDescent="0.25">
      <c r="A2" s="1"/>
      <c r="B2" s="2"/>
      <c r="C2" s="3"/>
      <c r="D2" s="3"/>
      <c r="E2" s="3"/>
      <c r="F2" s="3"/>
      <c r="G2" s="3"/>
      <c r="H2" s="3"/>
      <c r="I2" s="5"/>
      <c r="J2" s="5"/>
      <c r="K2" s="5"/>
      <c r="L2" s="5"/>
      <c r="M2" s="170" t="s">
        <v>1</v>
      </c>
      <c r="N2" s="170"/>
      <c r="O2" s="170"/>
      <c r="P2" s="170"/>
      <c r="Q2" s="170"/>
      <c r="R2" s="170"/>
      <c r="S2" s="170"/>
      <c r="T2" s="170"/>
      <c r="U2" s="170"/>
    </row>
    <row r="3" spans="1:28" s="6" customFormat="1" ht="33" hidden="1" x14ac:dyDescent="0.25">
      <c r="A3" s="1"/>
      <c r="B3" s="2"/>
      <c r="C3" s="3"/>
      <c r="D3" s="3"/>
      <c r="E3" s="3"/>
      <c r="F3" s="3"/>
      <c r="G3" s="3"/>
      <c r="H3" s="3"/>
      <c r="I3" s="5"/>
      <c r="J3" s="5"/>
      <c r="K3" s="5"/>
      <c r="L3" s="5"/>
      <c r="M3" s="170" t="s">
        <v>2</v>
      </c>
      <c r="N3" s="170"/>
      <c r="O3" s="170"/>
      <c r="P3" s="170"/>
      <c r="Q3" s="170"/>
      <c r="R3" s="170"/>
      <c r="S3" s="170"/>
      <c r="T3" s="170"/>
      <c r="U3" s="170"/>
    </row>
    <row r="4" spans="1:28" s="6" customFormat="1" ht="33" hidden="1" x14ac:dyDescent="0.25">
      <c r="A4" s="1"/>
      <c r="B4" s="2"/>
      <c r="C4" s="3"/>
      <c r="D4" s="3"/>
      <c r="E4" s="3"/>
      <c r="F4" s="3"/>
      <c r="G4" s="4"/>
      <c r="H4" s="4"/>
      <c r="I4" s="7"/>
      <c r="J4" s="7"/>
      <c r="K4" s="7"/>
      <c r="L4" s="7"/>
      <c r="M4" s="8"/>
      <c r="N4" s="8"/>
      <c r="O4" s="8"/>
      <c r="P4" s="8"/>
      <c r="Q4" s="8"/>
      <c r="R4" s="8"/>
      <c r="S4" s="8"/>
      <c r="T4" s="8"/>
    </row>
    <row r="5" spans="1:28" s="6" customFormat="1" ht="16.5" x14ac:dyDescent="0.25">
      <c r="A5" s="9"/>
      <c r="B5" s="10"/>
      <c r="C5" s="11"/>
    </row>
    <row r="6" spans="1:28" s="6" customFormat="1" ht="28.5" customHeight="1" x14ac:dyDescent="0.25">
      <c r="A6" s="9"/>
      <c r="B6" s="10"/>
      <c r="C6" s="11"/>
    </row>
    <row r="7" spans="1:28" s="6" customFormat="1" ht="89.25" customHeight="1" x14ac:dyDescent="0.25">
      <c r="A7" s="171" t="s">
        <v>303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</row>
    <row r="8" spans="1:28" s="6" customFormat="1" ht="42.75" customHeight="1" x14ac:dyDescent="0.25">
      <c r="A8" s="172" t="s">
        <v>279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2"/>
      <c r="V8" s="12"/>
      <c r="W8" s="12"/>
      <c r="X8" s="12"/>
      <c r="Y8" s="12"/>
      <c r="Z8" s="12"/>
      <c r="AA8" s="12"/>
      <c r="AB8" s="12"/>
    </row>
    <row r="9" spans="1:28" s="6" customFormat="1" ht="21.75" customHeight="1" x14ac:dyDescent="0.5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</row>
    <row r="10" spans="1:28" s="6" customFormat="1" ht="19.5" hidden="1" thickBot="1" x14ac:dyDescent="0.35">
      <c r="A10" s="9"/>
      <c r="B10" s="10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28" s="15" customFormat="1" ht="16.5" customHeight="1" x14ac:dyDescent="0.25">
      <c r="A11" s="158" t="s">
        <v>4</v>
      </c>
      <c r="B11" s="159" t="s">
        <v>5</v>
      </c>
      <c r="C11" s="158" t="s">
        <v>6</v>
      </c>
      <c r="D11" s="166" t="s">
        <v>7</v>
      </c>
      <c r="E11" s="166"/>
      <c r="F11" s="87"/>
      <c r="G11" s="166" t="s">
        <v>8</v>
      </c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</row>
    <row r="12" spans="1:28" s="16" customFormat="1" ht="15.75" customHeight="1" x14ac:dyDescent="0.25">
      <c r="A12" s="158"/>
      <c r="B12" s="159"/>
      <c r="C12" s="158"/>
      <c r="D12" s="166"/>
      <c r="E12" s="166"/>
      <c r="F12" s="87"/>
      <c r="G12" s="165" t="s">
        <v>9</v>
      </c>
      <c r="H12" s="165"/>
      <c r="I12" s="158" t="s">
        <v>10</v>
      </c>
      <c r="J12" s="158"/>
      <c r="K12" s="158"/>
      <c r="L12" s="158"/>
      <c r="M12" s="158"/>
      <c r="N12" s="158"/>
      <c r="O12" s="158"/>
      <c r="P12" s="158"/>
      <c r="Q12" s="158"/>
      <c r="R12" s="158"/>
      <c r="S12" s="165" t="s">
        <v>11</v>
      </c>
      <c r="T12" s="165"/>
    </row>
    <row r="13" spans="1:28" s="17" customFormat="1" ht="80.25" customHeight="1" x14ac:dyDescent="0.25">
      <c r="A13" s="158"/>
      <c r="B13" s="159"/>
      <c r="C13" s="158"/>
      <c r="D13" s="166"/>
      <c r="E13" s="166"/>
      <c r="F13" s="87"/>
      <c r="G13" s="165"/>
      <c r="H13" s="165"/>
      <c r="I13" s="158" t="s">
        <v>12</v>
      </c>
      <c r="J13" s="158"/>
      <c r="K13" s="158" t="s">
        <v>13</v>
      </c>
      <c r="L13" s="158"/>
      <c r="M13" s="158" t="s">
        <v>14</v>
      </c>
      <c r="N13" s="158"/>
      <c r="O13" s="158" t="s">
        <v>15</v>
      </c>
      <c r="P13" s="158"/>
      <c r="Q13" s="158" t="s">
        <v>278</v>
      </c>
      <c r="R13" s="158"/>
      <c r="S13" s="165"/>
      <c r="T13" s="165"/>
    </row>
    <row r="14" spans="1:28" s="17" customFormat="1" ht="80.25" customHeight="1" x14ac:dyDescent="0.25">
      <c r="A14" s="158"/>
      <c r="B14" s="159"/>
      <c r="C14" s="158"/>
      <c r="D14" s="44" t="s">
        <v>295</v>
      </c>
      <c r="E14" s="44" t="s">
        <v>296</v>
      </c>
      <c r="F14" s="87"/>
      <c r="G14" s="45" t="s">
        <v>295</v>
      </c>
      <c r="H14" s="45" t="s">
        <v>296</v>
      </c>
      <c r="I14" s="45" t="s">
        <v>295</v>
      </c>
      <c r="J14" s="45" t="s">
        <v>296</v>
      </c>
      <c r="K14" s="45" t="s">
        <v>295</v>
      </c>
      <c r="L14" s="45" t="s">
        <v>296</v>
      </c>
      <c r="M14" s="45" t="s">
        <v>295</v>
      </c>
      <c r="N14" s="45" t="s">
        <v>296</v>
      </c>
      <c r="O14" s="45" t="s">
        <v>295</v>
      </c>
      <c r="P14" s="45" t="s">
        <v>296</v>
      </c>
      <c r="Q14" s="45" t="s">
        <v>295</v>
      </c>
      <c r="R14" s="45" t="s">
        <v>296</v>
      </c>
      <c r="S14" s="45" t="s">
        <v>295</v>
      </c>
      <c r="T14" s="45" t="s">
        <v>296</v>
      </c>
    </row>
    <row r="15" spans="1:28" s="18" customFormat="1" ht="25.5" customHeight="1" x14ac:dyDescent="0.25">
      <c r="A15" s="168" t="s">
        <v>16</v>
      </c>
      <c r="B15" s="168"/>
      <c r="C15" s="46"/>
      <c r="D15" s="34">
        <f t="shared" ref="D15:S15" si="0">SUM(D16+D20+D26+D27+D28+D29+D30)</f>
        <v>6853578.2599999998</v>
      </c>
      <c r="E15" s="34">
        <f t="shared" si="0"/>
        <v>6853578.2599999998</v>
      </c>
      <c r="F15" s="34"/>
      <c r="G15" s="34">
        <f t="shared" si="0"/>
        <v>0</v>
      </c>
      <c r="H15" s="34">
        <f t="shared" si="0"/>
        <v>0</v>
      </c>
      <c r="I15" s="34">
        <f t="shared" si="0"/>
        <v>0</v>
      </c>
      <c r="J15" s="34">
        <f t="shared" si="0"/>
        <v>0</v>
      </c>
      <c r="K15" s="34">
        <f t="shared" si="0"/>
        <v>0</v>
      </c>
      <c r="L15" s="34">
        <f t="shared" si="0"/>
        <v>0</v>
      </c>
      <c r="M15" s="34">
        <f t="shared" si="0"/>
        <v>0</v>
      </c>
      <c r="N15" s="34">
        <f t="shared" si="0"/>
        <v>0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0</v>
      </c>
      <c r="S15" s="34">
        <f t="shared" si="0"/>
        <v>6853578.2599999998</v>
      </c>
      <c r="T15" s="34">
        <f t="shared" ref="T15" si="1">SUM(T16+T20+T26+T27+T28+T29+T30)</f>
        <v>6853578.2599999998</v>
      </c>
    </row>
    <row r="16" spans="1:28" s="18" customFormat="1" ht="17.25" x14ac:dyDescent="0.25">
      <c r="A16" s="47" t="s">
        <v>17</v>
      </c>
      <c r="B16" s="48" t="s">
        <v>18</v>
      </c>
      <c r="C16" s="49"/>
      <c r="D16" s="34">
        <f>SUM(G16:S16)</f>
        <v>0</v>
      </c>
      <c r="E16" s="34"/>
      <c r="F16" s="34"/>
      <c r="G16" s="34">
        <f t="shared" ref="G16:Q16" si="2">SUM(G17:G19)</f>
        <v>0</v>
      </c>
      <c r="H16" s="34"/>
      <c r="I16" s="34">
        <f t="shared" si="2"/>
        <v>0</v>
      </c>
      <c r="J16" s="34"/>
      <c r="K16" s="34">
        <f t="shared" si="2"/>
        <v>0</v>
      </c>
      <c r="L16" s="34"/>
      <c r="M16" s="34">
        <f t="shared" si="2"/>
        <v>0</v>
      </c>
      <c r="N16" s="34"/>
      <c r="O16" s="34">
        <f t="shared" si="2"/>
        <v>0</v>
      </c>
      <c r="P16" s="34"/>
      <c r="Q16" s="34">
        <f t="shared" si="2"/>
        <v>0</v>
      </c>
      <c r="R16" s="34"/>
      <c r="S16" s="34"/>
      <c r="T16" s="34"/>
    </row>
    <row r="17" spans="1:20" s="6" customFormat="1" ht="16.5" x14ac:dyDescent="0.25">
      <c r="A17" s="50" t="s">
        <v>19</v>
      </c>
      <c r="B17" s="28" t="s">
        <v>20</v>
      </c>
      <c r="C17" s="51"/>
      <c r="D17" s="33">
        <f t="shared" ref="D17:D33" si="3">SUM(G17+I17+K17+M17+O17+Q17+S17)</f>
        <v>0</v>
      </c>
      <c r="E17" s="33">
        <f t="shared" ref="E17:E33" si="4">SUM(H17+J17+L17+N17+P17+R17+T17)</f>
        <v>0</v>
      </c>
      <c r="F17" s="33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1:20" s="6" customFormat="1" ht="16.5" x14ac:dyDescent="0.25">
      <c r="A18" s="50" t="s">
        <v>21</v>
      </c>
      <c r="B18" s="28" t="s">
        <v>22</v>
      </c>
      <c r="C18" s="51"/>
      <c r="D18" s="33">
        <f t="shared" si="3"/>
        <v>0</v>
      </c>
      <c r="E18" s="33">
        <f t="shared" si="4"/>
        <v>0</v>
      </c>
      <c r="F18" s="33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s="6" customFormat="1" ht="16.5" hidden="1" x14ac:dyDescent="0.25">
      <c r="A19" s="52"/>
      <c r="B19" s="28"/>
      <c r="C19" s="51"/>
      <c r="D19" s="33">
        <f t="shared" si="3"/>
        <v>0</v>
      </c>
      <c r="E19" s="33">
        <f t="shared" si="4"/>
        <v>0</v>
      </c>
      <c r="F19" s="33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s="20" customFormat="1" ht="17.25" x14ac:dyDescent="0.25">
      <c r="A20" s="53" t="s">
        <v>25</v>
      </c>
      <c r="B20" s="48" t="s">
        <v>26</v>
      </c>
      <c r="C20" s="54"/>
      <c r="D20" s="33">
        <f t="shared" si="3"/>
        <v>0</v>
      </c>
      <c r="E20" s="33">
        <f t="shared" si="4"/>
        <v>0</v>
      </c>
      <c r="F20" s="33"/>
      <c r="G20" s="25">
        <f t="shared" ref="G20:T20" si="5">SUM(G21:G25)</f>
        <v>0</v>
      </c>
      <c r="H20" s="25">
        <f t="shared" si="5"/>
        <v>0</v>
      </c>
      <c r="I20" s="25">
        <f t="shared" si="5"/>
        <v>0</v>
      </c>
      <c r="J20" s="25">
        <f t="shared" si="5"/>
        <v>0</v>
      </c>
      <c r="K20" s="25">
        <f t="shared" si="5"/>
        <v>0</v>
      </c>
      <c r="L20" s="25">
        <f t="shared" si="5"/>
        <v>0</v>
      </c>
      <c r="M20" s="25">
        <f t="shared" si="5"/>
        <v>0</v>
      </c>
      <c r="N20" s="25">
        <f t="shared" si="5"/>
        <v>0</v>
      </c>
      <c r="O20" s="25">
        <f t="shared" si="5"/>
        <v>0</v>
      </c>
      <c r="P20" s="25">
        <f t="shared" si="5"/>
        <v>0</v>
      </c>
      <c r="Q20" s="25">
        <f t="shared" si="5"/>
        <v>0</v>
      </c>
      <c r="R20" s="25">
        <f t="shared" si="5"/>
        <v>0</v>
      </c>
      <c r="S20" s="25">
        <f t="shared" si="5"/>
        <v>0</v>
      </c>
      <c r="T20" s="25">
        <f t="shared" si="5"/>
        <v>0</v>
      </c>
    </row>
    <row r="21" spans="1:20" s="22" customFormat="1" ht="49.5" x14ac:dyDescent="0.25">
      <c r="A21" s="50" t="s">
        <v>27</v>
      </c>
      <c r="B21" s="28" t="s">
        <v>28</v>
      </c>
      <c r="C21" s="55"/>
      <c r="D21" s="33">
        <f t="shared" si="3"/>
        <v>0</v>
      </c>
      <c r="E21" s="33">
        <f t="shared" si="4"/>
        <v>0</v>
      </c>
      <c r="F21" s="33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38"/>
      <c r="R21" s="38"/>
      <c r="S21" s="21"/>
      <c r="T21" s="21"/>
    </row>
    <row r="22" spans="1:20" s="22" customFormat="1" ht="33" x14ac:dyDescent="0.25">
      <c r="A22" s="50" t="s">
        <v>29</v>
      </c>
      <c r="B22" s="28" t="s">
        <v>30</v>
      </c>
      <c r="C22" s="55"/>
      <c r="D22" s="33">
        <f t="shared" si="3"/>
        <v>0</v>
      </c>
      <c r="E22" s="33">
        <f t="shared" si="4"/>
        <v>0</v>
      </c>
      <c r="F22" s="3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20" s="22" customFormat="1" ht="48" x14ac:dyDescent="0.25">
      <c r="A23" s="50" t="s">
        <v>31</v>
      </c>
      <c r="B23" s="28" t="s">
        <v>32</v>
      </c>
      <c r="C23" s="55"/>
      <c r="D23" s="33">
        <f t="shared" si="3"/>
        <v>0</v>
      </c>
      <c r="E23" s="33">
        <f t="shared" si="4"/>
        <v>0</v>
      </c>
      <c r="F23" s="33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1:20" s="22" customFormat="1" ht="33" hidden="1" x14ac:dyDescent="0.25">
      <c r="A24" s="50" t="s">
        <v>33</v>
      </c>
      <c r="B24" s="28" t="s">
        <v>34</v>
      </c>
      <c r="C24" s="55"/>
      <c r="D24" s="33">
        <f t="shared" si="3"/>
        <v>0</v>
      </c>
      <c r="E24" s="33">
        <f t="shared" si="4"/>
        <v>0</v>
      </c>
      <c r="F24" s="33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 spans="1:20" s="22" customFormat="1" ht="49.5" hidden="1" x14ac:dyDescent="0.25">
      <c r="A25" s="50" t="s">
        <v>35</v>
      </c>
      <c r="B25" s="28" t="s">
        <v>36</v>
      </c>
      <c r="C25" s="55"/>
      <c r="D25" s="33">
        <f t="shared" si="3"/>
        <v>0</v>
      </c>
      <c r="E25" s="33">
        <f t="shared" si="4"/>
        <v>0</v>
      </c>
      <c r="F25" s="33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1:20" s="24" customFormat="1" ht="17.25" x14ac:dyDescent="0.25">
      <c r="A26" s="56">
        <v>3</v>
      </c>
      <c r="B26" s="48" t="s">
        <v>37</v>
      </c>
      <c r="C26" s="54"/>
      <c r="D26" s="33">
        <f t="shared" si="3"/>
        <v>0</v>
      </c>
      <c r="E26" s="33">
        <f t="shared" si="4"/>
        <v>0</v>
      </c>
      <c r="F26" s="3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0" s="20" customFormat="1" ht="17.25" x14ac:dyDescent="0.25">
      <c r="A27" s="53">
        <v>4</v>
      </c>
      <c r="B27" s="48" t="s">
        <v>38</v>
      </c>
      <c r="C27" s="54"/>
      <c r="D27" s="33">
        <f t="shared" si="3"/>
        <v>5742964.8799999999</v>
      </c>
      <c r="E27" s="33">
        <f t="shared" si="4"/>
        <v>5742964.8799999999</v>
      </c>
      <c r="F27" s="33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>
        <v>5742964.8799999999</v>
      </c>
      <c r="T27" s="25">
        <v>5742964.8799999999</v>
      </c>
    </row>
    <row r="28" spans="1:20" s="20" customFormat="1" ht="17.25" x14ac:dyDescent="0.25">
      <c r="A28" s="53">
        <v>5</v>
      </c>
      <c r="B28" s="48" t="s">
        <v>39</v>
      </c>
      <c r="C28" s="54"/>
      <c r="D28" s="33">
        <f t="shared" si="3"/>
        <v>208452.14</v>
      </c>
      <c r="E28" s="33">
        <f t="shared" si="4"/>
        <v>208452.14</v>
      </c>
      <c r="F28" s="33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>
        <v>208452.14</v>
      </c>
      <c r="T28" s="25">
        <v>208452.14</v>
      </c>
    </row>
    <row r="29" spans="1:20" s="20" customFormat="1" ht="17.25" x14ac:dyDescent="0.25">
      <c r="A29" s="53">
        <v>6</v>
      </c>
      <c r="B29" s="48" t="s">
        <v>40</v>
      </c>
      <c r="C29" s="54"/>
      <c r="D29" s="33">
        <f t="shared" si="3"/>
        <v>0</v>
      </c>
      <c r="E29" s="33">
        <f t="shared" si="4"/>
        <v>0</v>
      </c>
      <c r="F29" s="33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>
        <v>0</v>
      </c>
      <c r="T29" s="25">
        <v>0</v>
      </c>
    </row>
    <row r="30" spans="1:20" s="20" customFormat="1" ht="17.25" x14ac:dyDescent="0.25">
      <c r="A30" s="53">
        <v>7</v>
      </c>
      <c r="B30" s="48" t="s">
        <v>41</v>
      </c>
      <c r="C30" s="54"/>
      <c r="D30" s="33">
        <f t="shared" si="3"/>
        <v>902161.24</v>
      </c>
      <c r="E30" s="33">
        <f t="shared" si="4"/>
        <v>902161.24</v>
      </c>
      <c r="F30" s="33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>
        <v>902161.24</v>
      </c>
      <c r="T30" s="25">
        <v>902161.24</v>
      </c>
    </row>
    <row r="31" spans="1:20" s="20" customFormat="1" ht="20.25" x14ac:dyDescent="0.25">
      <c r="A31" s="163" t="s">
        <v>42</v>
      </c>
      <c r="B31" s="163"/>
      <c r="C31" s="57"/>
      <c r="D31" s="33">
        <f t="shared" si="3"/>
        <v>1326368462.0599999</v>
      </c>
      <c r="E31" s="33">
        <f t="shared" si="4"/>
        <v>444436731.14999998</v>
      </c>
      <c r="F31" s="33"/>
      <c r="G31" s="25">
        <f t="shared" ref="G31:L31" si="6">SUM(G32+G36+G42+G43+G44+G45+G46)</f>
        <v>299503288.30000001</v>
      </c>
      <c r="H31" s="25">
        <f t="shared" si="6"/>
        <v>97176995.200000003</v>
      </c>
      <c r="I31" s="25">
        <f t="shared" si="6"/>
        <v>901569989.65999997</v>
      </c>
      <c r="J31" s="25">
        <f t="shared" si="6"/>
        <v>289743800</v>
      </c>
      <c r="K31" s="25">
        <f t="shared" si="6"/>
        <v>3166676</v>
      </c>
      <c r="L31" s="25">
        <f t="shared" si="6"/>
        <v>165000</v>
      </c>
      <c r="M31" s="25">
        <f t="shared" ref="M31" si="7">SUM(M32+M36+M42+M43+M44+M45+M46)</f>
        <v>728520</v>
      </c>
      <c r="N31" s="25">
        <f t="shared" ref="N31:S31" si="8">SUM(N32+N36+N42+N43+N44+N45+N46)</f>
        <v>455258</v>
      </c>
      <c r="O31" s="25">
        <f t="shared" si="8"/>
        <v>7466790</v>
      </c>
      <c r="P31" s="25">
        <f t="shared" si="8"/>
        <v>2884000</v>
      </c>
      <c r="Q31" s="25">
        <f t="shared" si="8"/>
        <v>176776.31</v>
      </c>
      <c r="R31" s="25">
        <f t="shared" si="8"/>
        <v>0</v>
      </c>
      <c r="S31" s="25">
        <f t="shared" si="8"/>
        <v>113756421.79000001</v>
      </c>
      <c r="T31" s="25">
        <f t="shared" ref="T31" si="9">SUM(T32+T36+T42+T43+T44+T45+T46)</f>
        <v>54011677.950000003</v>
      </c>
    </row>
    <row r="32" spans="1:20" s="24" customFormat="1" ht="17.25" x14ac:dyDescent="0.25">
      <c r="A32" s="56" t="s">
        <v>17</v>
      </c>
      <c r="B32" s="48" t="s">
        <v>18</v>
      </c>
      <c r="C32" s="54"/>
      <c r="D32" s="33">
        <f t="shared" si="3"/>
        <v>1027105906.02</v>
      </c>
      <c r="E32" s="33">
        <f t="shared" si="4"/>
        <v>347671511</v>
      </c>
      <c r="F32" s="33"/>
      <c r="G32" s="25">
        <f t="shared" ref="G32:L32" si="10">SUM(G33:G35)</f>
        <v>114173930.36</v>
      </c>
      <c r="H32" s="25">
        <f t="shared" si="10"/>
        <v>54423453</v>
      </c>
      <c r="I32" s="25">
        <f t="shared" si="10"/>
        <v>901569989.65999997</v>
      </c>
      <c r="J32" s="25">
        <f t="shared" si="10"/>
        <v>289743800</v>
      </c>
      <c r="K32" s="25">
        <f t="shared" si="10"/>
        <v>3166676</v>
      </c>
      <c r="L32" s="25">
        <f t="shared" si="10"/>
        <v>165000</v>
      </c>
      <c r="M32" s="25">
        <f>SUM(M33:M35)</f>
        <v>728520</v>
      </c>
      <c r="N32" s="25">
        <f t="shared" ref="N32:S32" si="11">SUM(N33:N35)</f>
        <v>455258</v>
      </c>
      <c r="O32" s="25">
        <f t="shared" si="11"/>
        <v>7466790</v>
      </c>
      <c r="P32" s="25">
        <f t="shared" si="11"/>
        <v>2884000</v>
      </c>
      <c r="Q32" s="25">
        <f t="shared" si="11"/>
        <v>0</v>
      </c>
      <c r="R32" s="25">
        <f t="shared" si="11"/>
        <v>0</v>
      </c>
      <c r="S32" s="25">
        <f t="shared" si="11"/>
        <v>0</v>
      </c>
      <c r="T32" s="23"/>
    </row>
    <row r="33" spans="1:43" s="22" customFormat="1" ht="16.5" x14ac:dyDescent="0.25">
      <c r="A33" s="50" t="s">
        <v>19</v>
      </c>
      <c r="B33" s="28" t="s">
        <v>20</v>
      </c>
      <c r="C33" s="55"/>
      <c r="D33" s="33">
        <f t="shared" si="3"/>
        <v>1006962949.02</v>
      </c>
      <c r="E33" s="33">
        <f t="shared" si="4"/>
        <v>337685631</v>
      </c>
      <c r="F33" s="33"/>
      <c r="G33" s="90">
        <f>112739855.36+1434075-20142957</f>
        <v>94030973.359999999</v>
      </c>
      <c r="H33" s="90">
        <f>54211050+212403-H34</f>
        <v>44437573</v>
      </c>
      <c r="I33" s="90">
        <v>901569989.65999997</v>
      </c>
      <c r="J33" s="90">
        <v>289743800</v>
      </c>
      <c r="K33" s="90">
        <v>3166676</v>
      </c>
      <c r="L33" s="90">
        <v>165000</v>
      </c>
      <c r="M33" s="90">
        <f>993520-265000</f>
        <v>728520</v>
      </c>
      <c r="N33" s="90">
        <f>567758-112500</f>
        <v>455258</v>
      </c>
      <c r="O33" s="90">
        <v>7466790</v>
      </c>
      <c r="P33" s="90">
        <v>2884000</v>
      </c>
      <c r="Q33" s="21"/>
      <c r="R33" s="21"/>
      <c r="S33" s="21"/>
      <c r="T33" s="21"/>
    </row>
    <row r="34" spans="1:43" s="22" customFormat="1" ht="16.5" x14ac:dyDescent="0.25">
      <c r="A34" s="50" t="s">
        <v>21</v>
      </c>
      <c r="B34" s="28" t="s">
        <v>22</v>
      </c>
      <c r="C34" s="55"/>
      <c r="D34" s="33">
        <f t="shared" ref="D34:E96" si="12">SUM(G34+I34+K34+M34+O34+Q34+S34)</f>
        <v>20142957</v>
      </c>
      <c r="E34" s="33">
        <f t="shared" si="12"/>
        <v>9985880</v>
      </c>
      <c r="F34" s="33"/>
      <c r="G34" s="90">
        <v>20142957</v>
      </c>
      <c r="H34" s="90">
        <v>9985880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 spans="1:43" s="22" customFormat="1" ht="16.5" hidden="1" x14ac:dyDescent="0.25">
      <c r="A35" s="52" t="s">
        <v>23</v>
      </c>
      <c r="B35" s="28" t="s">
        <v>24</v>
      </c>
      <c r="C35" s="55"/>
      <c r="D35" s="33">
        <f t="shared" si="12"/>
        <v>0</v>
      </c>
      <c r="E35" s="33">
        <f t="shared" si="12"/>
        <v>0</v>
      </c>
      <c r="F35" s="33"/>
      <c r="G35" s="38"/>
      <c r="H35" s="38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1:43" s="24" customFormat="1" ht="17.25" x14ac:dyDescent="0.25">
      <c r="A36" s="56" t="s">
        <v>25</v>
      </c>
      <c r="B36" s="48" t="s">
        <v>26</v>
      </c>
      <c r="C36" s="54"/>
      <c r="D36" s="33">
        <f t="shared" si="12"/>
        <v>185506134.25</v>
      </c>
      <c r="E36" s="33">
        <f t="shared" si="12"/>
        <v>42753542.200000003</v>
      </c>
      <c r="F36" s="33"/>
      <c r="G36" s="25">
        <f t="shared" ref="G36:H36" si="13">SUM(G37:G41)</f>
        <v>185329357.94</v>
      </c>
      <c r="H36" s="25">
        <f t="shared" si="13"/>
        <v>42753542.200000003</v>
      </c>
      <c r="I36" s="25">
        <f>SUM(I37:I41)</f>
        <v>0</v>
      </c>
      <c r="J36" s="25">
        <f t="shared" ref="J36:T36" si="14">SUM(J37:J41)</f>
        <v>0</v>
      </c>
      <c r="K36" s="25">
        <f t="shared" si="14"/>
        <v>0</v>
      </c>
      <c r="L36" s="25">
        <f t="shared" si="14"/>
        <v>0</v>
      </c>
      <c r="M36" s="25">
        <f t="shared" si="14"/>
        <v>0</v>
      </c>
      <c r="N36" s="25">
        <f t="shared" si="14"/>
        <v>0</v>
      </c>
      <c r="O36" s="25">
        <f t="shared" si="14"/>
        <v>0</v>
      </c>
      <c r="P36" s="25">
        <f t="shared" si="14"/>
        <v>0</v>
      </c>
      <c r="Q36" s="25">
        <f t="shared" si="14"/>
        <v>176776.31</v>
      </c>
      <c r="R36" s="25">
        <f t="shared" si="14"/>
        <v>0</v>
      </c>
      <c r="S36" s="25">
        <f t="shared" si="14"/>
        <v>0</v>
      </c>
      <c r="T36" s="25">
        <f t="shared" si="14"/>
        <v>0</v>
      </c>
    </row>
    <row r="37" spans="1:43" s="22" customFormat="1" ht="36" customHeight="1" x14ac:dyDescent="0.25">
      <c r="A37" s="50" t="s">
        <v>27</v>
      </c>
      <c r="B37" s="28" t="s">
        <v>43</v>
      </c>
      <c r="C37" s="55"/>
      <c r="D37" s="33">
        <f>SUM(G37+I37+K37+M37+O37+Q37+S37)</f>
        <v>180711055.25</v>
      </c>
      <c r="E37" s="33">
        <f t="shared" si="12"/>
        <v>41271213</v>
      </c>
      <c r="F37" s="33"/>
      <c r="G37" s="90">
        <f>174289078.94+6245200</f>
        <v>180534278.94</v>
      </c>
      <c r="H37" s="90">
        <f>40975213+296000</f>
        <v>41271213</v>
      </c>
      <c r="I37" s="21"/>
      <c r="J37" s="21"/>
      <c r="K37" s="21"/>
      <c r="L37" s="21"/>
      <c r="M37" s="21"/>
      <c r="N37" s="21"/>
      <c r="O37" s="21"/>
      <c r="P37" s="21"/>
      <c r="Q37" s="90">
        <f>150000+26776.31</f>
        <v>176776.31</v>
      </c>
      <c r="R37" s="21"/>
      <c r="S37" s="21"/>
      <c r="T37" s="21"/>
    </row>
    <row r="38" spans="1:43" s="22" customFormat="1" ht="36" customHeight="1" x14ac:dyDescent="0.25">
      <c r="A38" s="50" t="s">
        <v>29</v>
      </c>
      <c r="B38" s="28" t="s">
        <v>44</v>
      </c>
      <c r="C38" s="55"/>
      <c r="D38" s="33">
        <f t="shared" si="12"/>
        <v>0</v>
      </c>
      <c r="E38" s="33">
        <f t="shared" si="12"/>
        <v>0</v>
      </c>
      <c r="F38" s="33"/>
      <c r="G38" s="38"/>
      <c r="H38" s="80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1:43" s="22" customFormat="1" ht="48" x14ac:dyDescent="0.25">
      <c r="A39" s="50" t="s">
        <v>31</v>
      </c>
      <c r="B39" s="28" t="s">
        <v>32</v>
      </c>
      <c r="C39" s="55"/>
      <c r="D39" s="33">
        <f t="shared" si="12"/>
        <v>1507979</v>
      </c>
      <c r="E39" s="33">
        <f t="shared" si="12"/>
        <v>399979.2</v>
      </c>
      <c r="F39" s="33"/>
      <c r="G39" s="90">
        <f>1757979-250000</f>
        <v>1507979</v>
      </c>
      <c r="H39" s="90">
        <v>399979.2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pans="1:43" s="22" customFormat="1" ht="33" x14ac:dyDescent="0.25">
      <c r="A40" s="50" t="s">
        <v>33</v>
      </c>
      <c r="B40" s="28" t="s">
        <v>34</v>
      </c>
      <c r="C40" s="55"/>
      <c r="D40" s="33">
        <f t="shared" si="12"/>
        <v>3287100</v>
      </c>
      <c r="E40" s="33">
        <f t="shared" si="12"/>
        <v>1082350</v>
      </c>
      <c r="F40" s="33"/>
      <c r="G40" s="90">
        <v>3287100</v>
      </c>
      <c r="H40" s="90">
        <v>1082350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1:43" s="22" customFormat="1" ht="49.5" hidden="1" x14ac:dyDescent="0.25">
      <c r="A41" s="50" t="s">
        <v>35</v>
      </c>
      <c r="B41" s="28" t="s">
        <v>36</v>
      </c>
      <c r="C41" s="55"/>
      <c r="D41" s="33">
        <f t="shared" si="12"/>
        <v>0</v>
      </c>
      <c r="E41" s="33">
        <f t="shared" si="12"/>
        <v>0</v>
      </c>
      <c r="F41" s="33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1:43" s="20" customFormat="1" ht="17.25" x14ac:dyDescent="0.25">
      <c r="A42" s="53">
        <v>3</v>
      </c>
      <c r="B42" s="48" t="s">
        <v>37</v>
      </c>
      <c r="C42" s="54"/>
      <c r="D42" s="33">
        <f t="shared" si="12"/>
        <v>0</v>
      </c>
      <c r="E42" s="33">
        <f t="shared" si="12"/>
        <v>0</v>
      </c>
      <c r="F42" s="33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43" s="20" customFormat="1" ht="17.25" x14ac:dyDescent="0.25">
      <c r="A43" s="53">
        <v>4</v>
      </c>
      <c r="B43" s="48" t="s">
        <v>38</v>
      </c>
      <c r="C43" s="54"/>
      <c r="D43" s="33">
        <f t="shared" si="12"/>
        <v>99643000</v>
      </c>
      <c r="E43" s="33">
        <f t="shared" si="12"/>
        <v>49074981.630000003</v>
      </c>
      <c r="F43" s="33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>
        <v>99643000</v>
      </c>
      <c r="T43" s="38">
        <v>49074981.630000003</v>
      </c>
    </row>
    <row r="44" spans="1:43" s="20" customFormat="1" ht="17.25" x14ac:dyDescent="0.25">
      <c r="A44" s="53">
        <v>5</v>
      </c>
      <c r="B44" s="48" t="s">
        <v>39</v>
      </c>
      <c r="C44" s="54"/>
      <c r="D44" s="33">
        <f t="shared" si="12"/>
        <v>629558.89</v>
      </c>
      <c r="E44" s="33">
        <f t="shared" si="12"/>
        <v>557067.21</v>
      </c>
      <c r="F44" s="33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>
        <v>629558.89</v>
      </c>
      <c r="T44" s="38">
        <v>557067.21</v>
      </c>
    </row>
    <row r="45" spans="1:43" s="20" customFormat="1" ht="17.25" x14ac:dyDescent="0.25">
      <c r="A45" s="53">
        <v>6</v>
      </c>
      <c r="B45" s="48" t="s">
        <v>40</v>
      </c>
      <c r="C45" s="54"/>
      <c r="D45" s="33">
        <f t="shared" si="12"/>
        <v>0</v>
      </c>
      <c r="E45" s="33">
        <f t="shared" si="12"/>
        <v>90013</v>
      </c>
      <c r="F45" s="33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38">
        <v>90013</v>
      </c>
    </row>
    <row r="46" spans="1:43" s="20" customFormat="1" ht="17.25" x14ac:dyDescent="0.25">
      <c r="A46" s="53">
        <v>7</v>
      </c>
      <c r="B46" s="48" t="s">
        <v>41</v>
      </c>
      <c r="C46" s="54"/>
      <c r="D46" s="33">
        <f t="shared" si="12"/>
        <v>13483862.9</v>
      </c>
      <c r="E46" s="33">
        <f t="shared" si="12"/>
        <v>4289616.1100000003</v>
      </c>
      <c r="F46" s="33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>
        <v>13483862.9</v>
      </c>
      <c r="T46" s="38">
        <v>4289616.1100000003</v>
      </c>
    </row>
    <row r="47" spans="1:43" s="20" customFormat="1" ht="20.25" x14ac:dyDescent="0.25">
      <c r="A47" s="163" t="s">
        <v>45</v>
      </c>
      <c r="B47" s="163"/>
      <c r="C47" s="57"/>
      <c r="D47" s="25">
        <f t="shared" ref="D47:F47" si="15">SUM(D48+D84+D186+D187+D206+D223+D241)</f>
        <v>1333222040.3200002</v>
      </c>
      <c r="E47" s="25">
        <f t="shared" si="15"/>
        <v>421564465.93999988</v>
      </c>
      <c r="F47" s="25">
        <f t="shared" si="15"/>
        <v>0</v>
      </c>
      <c r="G47" s="25">
        <f t="shared" ref="G47:H47" si="16">SUM(G48+G84+G186+G187+G206+G223+G241)</f>
        <v>299503288.30000001</v>
      </c>
      <c r="H47" s="25">
        <f t="shared" si="16"/>
        <v>86078865.129999995</v>
      </c>
      <c r="I47" s="25">
        <f t="shared" ref="I47" si="17">SUM(I48+I84+I186+I187+I206+I223+I241)</f>
        <v>901569989.65999997</v>
      </c>
      <c r="J47" s="25">
        <f t="shared" ref="J47:T47" si="18">SUM(J48+J84+J186+J187+J206+J223+J241)</f>
        <v>284747947.14999998</v>
      </c>
      <c r="K47" s="25">
        <f t="shared" si="18"/>
        <v>3166676</v>
      </c>
      <c r="L47" s="25">
        <f t="shared" si="18"/>
        <v>59687.519999999997</v>
      </c>
      <c r="M47" s="25">
        <f t="shared" si="18"/>
        <v>728520</v>
      </c>
      <c r="N47" s="25">
        <f t="shared" si="18"/>
        <v>402926</v>
      </c>
      <c r="O47" s="25">
        <f t="shared" si="18"/>
        <v>7466790</v>
      </c>
      <c r="P47" s="25">
        <f t="shared" si="18"/>
        <v>2578160</v>
      </c>
      <c r="Q47" s="25">
        <f t="shared" si="18"/>
        <v>176776.31</v>
      </c>
      <c r="R47" s="25">
        <f t="shared" si="18"/>
        <v>0</v>
      </c>
      <c r="S47" s="25">
        <f t="shared" si="18"/>
        <v>120610000.05</v>
      </c>
      <c r="T47" s="25">
        <f t="shared" si="18"/>
        <v>47696880.140000001</v>
      </c>
    </row>
    <row r="48" spans="1:43" s="20" customFormat="1" ht="17.25" x14ac:dyDescent="0.25">
      <c r="A48" s="53">
        <v>1</v>
      </c>
      <c r="B48" s="48" t="s">
        <v>18</v>
      </c>
      <c r="C48" s="54"/>
      <c r="D48" s="25">
        <f t="shared" ref="D48:F48" si="19">SUM(D49+D78+D82)</f>
        <v>1027105906.02</v>
      </c>
      <c r="E48" s="25">
        <f t="shared" si="19"/>
        <v>338701428.1099999</v>
      </c>
      <c r="F48" s="25">
        <f t="shared" si="19"/>
        <v>0</v>
      </c>
      <c r="G48" s="25">
        <f t="shared" ref="G48:H48" si="20">SUM(G49+G78+G82)</f>
        <v>114173930.36</v>
      </c>
      <c r="H48" s="25">
        <f t="shared" si="20"/>
        <v>50912707.440000005</v>
      </c>
      <c r="I48" s="25">
        <f>SUM(I49+I78+I82)</f>
        <v>901569989.65999997</v>
      </c>
      <c r="J48" s="25">
        <f t="shared" ref="J48:T48" si="21">SUM(J49+J78+J82)</f>
        <v>284747947.14999998</v>
      </c>
      <c r="K48" s="25">
        <f t="shared" si="21"/>
        <v>3166676</v>
      </c>
      <c r="L48" s="25">
        <f t="shared" si="21"/>
        <v>59687.519999999997</v>
      </c>
      <c r="M48" s="25">
        <f t="shared" si="21"/>
        <v>728520</v>
      </c>
      <c r="N48" s="25">
        <f t="shared" si="21"/>
        <v>402926</v>
      </c>
      <c r="O48" s="25">
        <f t="shared" si="21"/>
        <v>7466790</v>
      </c>
      <c r="P48" s="25">
        <f t="shared" si="21"/>
        <v>2578160</v>
      </c>
      <c r="Q48" s="25">
        <f t="shared" si="21"/>
        <v>0</v>
      </c>
      <c r="R48" s="25">
        <f t="shared" si="21"/>
        <v>0</v>
      </c>
      <c r="S48" s="25">
        <f t="shared" si="21"/>
        <v>0</v>
      </c>
      <c r="T48" s="25">
        <f t="shared" si="21"/>
        <v>0</v>
      </c>
      <c r="AQ48" s="20">
        <v>173284000</v>
      </c>
    </row>
    <row r="49" spans="1:20" s="20" customFormat="1" ht="17.25" x14ac:dyDescent="0.25">
      <c r="A49" s="53" t="s">
        <v>19</v>
      </c>
      <c r="B49" s="48" t="s">
        <v>20</v>
      </c>
      <c r="C49" s="54"/>
      <c r="D49" s="25">
        <f t="shared" ref="D49:F49" si="22">SUM(D50+D51+D52+D53+D54+D55+D59+D60+D61+D64+D65+D68)+D72</f>
        <v>1006962949.02</v>
      </c>
      <c r="E49" s="25">
        <f t="shared" si="22"/>
        <v>331306268.95999992</v>
      </c>
      <c r="F49" s="25">
        <f t="shared" si="22"/>
        <v>0</v>
      </c>
      <c r="G49" s="25">
        <f t="shared" ref="G49:H49" si="23">SUM(G50+G51+G52+G53+G54+G55+G59+G60+G61+G64+G65+G68)+G72</f>
        <v>94030973.359999999</v>
      </c>
      <c r="H49" s="25">
        <f t="shared" si="23"/>
        <v>43517548.290000007</v>
      </c>
      <c r="I49" s="25">
        <f t="shared" ref="I49" si="24">SUM(I50+I51+I52+I53+I54+I55+I59+I60+I61+I64+I65+I68)+I72</f>
        <v>901569989.65999997</v>
      </c>
      <c r="J49" s="25">
        <f t="shared" ref="J49:T49" si="25">SUM(J50+J51+J52+J53+J54+J55+J59+J60+J61+J64+J65+J68)+J72</f>
        <v>284747947.14999998</v>
      </c>
      <c r="K49" s="25">
        <f t="shared" si="25"/>
        <v>3166676</v>
      </c>
      <c r="L49" s="25">
        <f t="shared" si="25"/>
        <v>59687.519999999997</v>
      </c>
      <c r="M49" s="25">
        <f t="shared" si="25"/>
        <v>728520</v>
      </c>
      <c r="N49" s="25">
        <f t="shared" si="25"/>
        <v>402926</v>
      </c>
      <c r="O49" s="25">
        <f t="shared" si="25"/>
        <v>7466790</v>
      </c>
      <c r="P49" s="25">
        <f t="shared" si="25"/>
        <v>2578160</v>
      </c>
      <c r="Q49" s="25">
        <f t="shared" si="25"/>
        <v>0</v>
      </c>
      <c r="R49" s="25">
        <f t="shared" si="25"/>
        <v>0</v>
      </c>
      <c r="S49" s="25">
        <f t="shared" si="25"/>
        <v>0</v>
      </c>
      <c r="T49" s="25">
        <f t="shared" si="25"/>
        <v>0</v>
      </c>
    </row>
    <row r="50" spans="1:20" s="22" customFormat="1" ht="16.5" x14ac:dyDescent="0.25">
      <c r="A50" s="50" t="s">
        <v>46</v>
      </c>
      <c r="B50" s="28" t="s">
        <v>47</v>
      </c>
      <c r="C50" s="55">
        <v>211</v>
      </c>
      <c r="D50" s="33">
        <f t="shared" si="12"/>
        <v>695795628.65999997</v>
      </c>
      <c r="E50" s="33">
        <f t="shared" si="12"/>
        <v>217101021.16</v>
      </c>
      <c r="F50" s="33"/>
      <c r="G50" s="80">
        <v>5744100</v>
      </c>
      <c r="H50" s="80">
        <v>2066981.39</v>
      </c>
      <c r="I50" s="38">
        <v>687626519.65999997</v>
      </c>
      <c r="J50" s="80">
        <f>-8252+210717271.44+4265332.81</f>
        <v>214974352.25</v>
      </c>
      <c r="K50" s="38">
        <v>2425009</v>
      </c>
      <c r="L50" s="82">
        <v>59687.519999999997</v>
      </c>
      <c r="M50" s="21"/>
      <c r="N50" s="21"/>
      <c r="O50" s="21"/>
      <c r="P50" s="21"/>
      <c r="Q50" s="21"/>
      <c r="R50" s="21"/>
      <c r="S50" s="21"/>
      <c r="T50" s="21"/>
    </row>
    <row r="51" spans="1:20" s="22" customFormat="1" ht="16.5" x14ac:dyDescent="0.25">
      <c r="A51" s="50" t="s">
        <v>48</v>
      </c>
      <c r="B51" s="28" t="s">
        <v>49</v>
      </c>
      <c r="C51" s="55">
        <v>212</v>
      </c>
      <c r="D51" s="33">
        <f t="shared" si="12"/>
        <v>750240</v>
      </c>
      <c r="E51" s="33">
        <f t="shared" si="12"/>
        <v>409060</v>
      </c>
      <c r="F51" s="33"/>
      <c r="G51" s="80">
        <f>2880+18840</f>
        <v>21720</v>
      </c>
      <c r="H51" s="80">
        <v>6134</v>
      </c>
      <c r="I51" s="38"/>
      <c r="J51" s="80"/>
      <c r="K51" s="38"/>
      <c r="L51" s="21"/>
      <c r="M51" s="38">
        <v>728520</v>
      </c>
      <c r="N51" s="80">
        <f>-22419+425345</f>
        <v>402926</v>
      </c>
      <c r="O51" s="21"/>
      <c r="P51" s="21"/>
      <c r="Q51" s="21"/>
      <c r="R51" s="21"/>
      <c r="S51" s="21"/>
      <c r="T51" s="21"/>
    </row>
    <row r="52" spans="1:20" s="22" customFormat="1" ht="16.5" x14ac:dyDescent="0.25">
      <c r="A52" s="50" t="s">
        <v>50</v>
      </c>
      <c r="B52" s="28" t="s">
        <v>51</v>
      </c>
      <c r="C52" s="55">
        <v>213</v>
      </c>
      <c r="D52" s="33">
        <f t="shared" si="12"/>
        <v>208837988</v>
      </c>
      <c r="E52" s="33">
        <f t="shared" si="12"/>
        <v>65051932.469999999</v>
      </c>
      <c r="F52" s="33"/>
      <c r="G52" s="80">
        <v>1722190</v>
      </c>
      <c r="H52" s="80">
        <v>573756.93999999994</v>
      </c>
      <c r="I52" s="38">
        <v>206395570</v>
      </c>
      <c r="J52" s="80">
        <f>63167597.89+1310577.64</f>
        <v>64478175.530000001</v>
      </c>
      <c r="K52" s="38">
        <v>720228</v>
      </c>
      <c r="L52" s="21"/>
      <c r="M52" s="21"/>
      <c r="N52" s="21"/>
      <c r="O52" s="21"/>
      <c r="P52" s="21"/>
      <c r="Q52" s="21"/>
      <c r="R52" s="21"/>
      <c r="S52" s="21"/>
      <c r="T52" s="21"/>
    </row>
    <row r="53" spans="1:20" s="22" customFormat="1" ht="16.5" x14ac:dyDescent="0.25">
      <c r="A53" s="52" t="s">
        <v>52</v>
      </c>
      <c r="B53" s="28" t="s">
        <v>53</v>
      </c>
      <c r="C53" s="55">
        <v>221</v>
      </c>
      <c r="D53" s="33">
        <f t="shared" si="12"/>
        <v>664134.96</v>
      </c>
      <c r="E53" s="33">
        <f t="shared" si="12"/>
        <v>240044.02</v>
      </c>
      <c r="F53" s="33"/>
      <c r="G53" s="80">
        <f>67134.96+597000</f>
        <v>664134.96</v>
      </c>
      <c r="H53" s="80">
        <v>240044.02</v>
      </c>
      <c r="I53" s="38"/>
      <c r="J53" s="80"/>
      <c r="K53" s="21"/>
      <c r="L53" s="21"/>
      <c r="M53" s="21"/>
      <c r="N53" s="21"/>
      <c r="O53" s="21"/>
      <c r="P53" s="21"/>
      <c r="Q53" s="21"/>
      <c r="R53" s="21"/>
      <c r="S53" s="21"/>
      <c r="T53" s="21"/>
    </row>
    <row r="54" spans="1:20" s="22" customFormat="1" ht="16.5" x14ac:dyDescent="0.25">
      <c r="A54" s="50" t="s">
        <v>54</v>
      </c>
      <c r="B54" s="28" t="s">
        <v>55</v>
      </c>
      <c r="C54" s="55">
        <v>222</v>
      </c>
      <c r="D54" s="33">
        <f t="shared" si="12"/>
        <v>0</v>
      </c>
      <c r="E54" s="33">
        <f t="shared" si="12"/>
        <v>0</v>
      </c>
      <c r="F54" s="33"/>
      <c r="G54" s="80"/>
      <c r="H54" s="80"/>
      <c r="I54" s="38"/>
      <c r="J54" s="80"/>
      <c r="K54" s="21"/>
      <c r="L54" s="21"/>
      <c r="M54" s="21"/>
      <c r="N54" s="21"/>
      <c r="O54" s="21"/>
      <c r="P54" s="21"/>
      <c r="Q54" s="21"/>
      <c r="R54" s="21"/>
      <c r="S54" s="21"/>
      <c r="T54" s="21"/>
    </row>
    <row r="55" spans="1:20" s="22" customFormat="1" ht="16.5" x14ac:dyDescent="0.25">
      <c r="A55" s="50" t="s">
        <v>56</v>
      </c>
      <c r="B55" s="28" t="s">
        <v>57</v>
      </c>
      <c r="C55" s="55">
        <v>223</v>
      </c>
      <c r="D55" s="33">
        <f t="shared" si="12"/>
        <v>60891580.399999999</v>
      </c>
      <c r="E55" s="33">
        <f t="shared" si="12"/>
        <v>34627785.710000001</v>
      </c>
      <c r="F55" s="33"/>
      <c r="G55" s="80">
        <f>SUM(G56:G58)</f>
        <v>60891580.399999999</v>
      </c>
      <c r="H55" s="80">
        <f>SUM(H56:H58)</f>
        <v>34627785.710000001</v>
      </c>
      <c r="I55" s="38"/>
      <c r="J55" s="80"/>
      <c r="K55" s="21"/>
      <c r="L55" s="21"/>
      <c r="M55" s="21"/>
      <c r="N55" s="21"/>
      <c r="O55" s="21"/>
      <c r="P55" s="21"/>
      <c r="Q55" s="21"/>
      <c r="R55" s="21"/>
      <c r="S55" s="21"/>
      <c r="T55" s="21"/>
    </row>
    <row r="56" spans="1:20" s="22" customFormat="1" ht="16.5" x14ac:dyDescent="0.25">
      <c r="A56" s="50"/>
      <c r="B56" s="28" t="s">
        <v>58</v>
      </c>
      <c r="C56" s="55">
        <v>223</v>
      </c>
      <c r="D56" s="33">
        <f t="shared" si="12"/>
        <v>38482970.689999998</v>
      </c>
      <c r="E56" s="33">
        <f t="shared" si="12"/>
        <v>26250330</v>
      </c>
      <c r="F56" s="33"/>
      <c r="G56" s="80">
        <f>5161838.69+33321132</f>
        <v>38482970.689999998</v>
      </c>
      <c r="H56" s="80">
        <v>26250330</v>
      </c>
      <c r="I56" s="38"/>
      <c r="J56" s="80"/>
      <c r="K56" s="21"/>
      <c r="L56" s="21"/>
      <c r="M56" s="21"/>
      <c r="N56" s="21"/>
      <c r="O56" s="21"/>
      <c r="P56" s="21"/>
      <c r="Q56" s="21"/>
      <c r="R56" s="21"/>
      <c r="S56" s="21"/>
      <c r="T56" s="21"/>
    </row>
    <row r="57" spans="1:20" s="22" customFormat="1" ht="16.5" x14ac:dyDescent="0.25">
      <c r="A57" s="50"/>
      <c r="B57" s="28" t="s">
        <v>59</v>
      </c>
      <c r="C57" s="55">
        <v>223</v>
      </c>
      <c r="D57" s="33">
        <f t="shared" si="12"/>
        <v>15957122.470000001</v>
      </c>
      <c r="E57" s="33">
        <f t="shared" si="12"/>
        <v>6205857.0599999996</v>
      </c>
      <c r="F57" s="33"/>
      <c r="G57" s="80">
        <f>2357286.47+13599836</f>
        <v>15957122.470000001</v>
      </c>
      <c r="H57" s="80">
        <v>6205857.0599999996</v>
      </c>
      <c r="I57" s="38"/>
      <c r="J57" s="80"/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 spans="1:20" s="22" customFormat="1" ht="16.5" x14ac:dyDescent="0.25">
      <c r="A58" s="50"/>
      <c r="B58" s="28" t="s">
        <v>60</v>
      </c>
      <c r="C58" s="55">
        <v>223</v>
      </c>
      <c r="D58" s="33">
        <f t="shared" si="12"/>
        <v>6451487.2400000002</v>
      </c>
      <c r="E58" s="33">
        <f t="shared" si="12"/>
        <v>2171598.65</v>
      </c>
      <c r="F58" s="33"/>
      <c r="G58" s="80">
        <f>677046.24+5774441</f>
        <v>6451487.2400000002</v>
      </c>
      <c r="H58" s="80">
        <v>2171598.65</v>
      </c>
      <c r="I58" s="38"/>
      <c r="J58" s="80"/>
      <c r="K58" s="21"/>
      <c r="L58" s="21"/>
      <c r="M58" s="21"/>
      <c r="N58" s="21"/>
      <c r="O58" s="21"/>
      <c r="P58" s="21"/>
      <c r="Q58" s="21"/>
      <c r="R58" s="21"/>
      <c r="S58" s="21"/>
      <c r="T58" s="21"/>
    </row>
    <row r="59" spans="1:20" s="22" customFormat="1" ht="16.5" x14ac:dyDescent="0.25">
      <c r="A59" s="52" t="s">
        <v>61</v>
      </c>
      <c r="B59" s="28" t="s">
        <v>62</v>
      </c>
      <c r="C59" s="55">
        <v>224</v>
      </c>
      <c r="D59" s="33">
        <f t="shared" si="12"/>
        <v>0</v>
      </c>
      <c r="E59" s="33">
        <f t="shared" si="12"/>
        <v>0</v>
      </c>
      <c r="F59" s="33"/>
      <c r="G59" s="80"/>
      <c r="H59" s="80"/>
      <c r="I59" s="38"/>
      <c r="J59" s="80"/>
      <c r="K59" s="21"/>
      <c r="L59" s="21"/>
      <c r="M59" s="21"/>
      <c r="N59" s="21"/>
      <c r="O59" s="21"/>
      <c r="P59" s="21"/>
      <c r="Q59" s="21"/>
      <c r="R59" s="21"/>
      <c r="S59" s="21"/>
      <c r="T59" s="21"/>
    </row>
    <row r="60" spans="1:20" s="22" customFormat="1" ht="16.5" x14ac:dyDescent="0.25">
      <c r="A60" s="52" t="s">
        <v>63</v>
      </c>
      <c r="B60" s="28" t="s">
        <v>64</v>
      </c>
      <c r="C60" s="55">
        <v>225</v>
      </c>
      <c r="D60" s="33">
        <f t="shared" si="12"/>
        <v>13780886</v>
      </c>
      <c r="E60" s="33">
        <f t="shared" si="12"/>
        <v>3153900.7800000003</v>
      </c>
      <c r="F60" s="33"/>
      <c r="G60" s="80">
        <f>1285770+9495116</f>
        <v>10780886</v>
      </c>
      <c r="H60" s="80">
        <v>2175844.98</v>
      </c>
      <c r="I60" s="38">
        <v>3000000</v>
      </c>
      <c r="J60" s="80">
        <v>978055.8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 spans="1:20" s="22" customFormat="1" ht="16.5" x14ac:dyDescent="0.25">
      <c r="A61" s="52" t="s">
        <v>65</v>
      </c>
      <c r="B61" s="28" t="s">
        <v>66</v>
      </c>
      <c r="C61" s="55">
        <v>226</v>
      </c>
      <c r="D61" s="33">
        <f t="shared" si="12"/>
        <v>13488417</v>
      </c>
      <c r="E61" s="33">
        <f t="shared" si="12"/>
        <v>3895586.42</v>
      </c>
      <c r="F61" s="33"/>
      <c r="G61" s="80">
        <f>SUM(G62:G63)</f>
        <v>9861387</v>
      </c>
      <c r="H61" s="80">
        <f>SUM(H62:H63)</f>
        <v>2656586.42</v>
      </c>
      <c r="I61" s="38">
        <f t="shared" ref="I61:O61" si="26">SUM(I62:I63)</f>
        <v>0</v>
      </c>
      <c r="J61" s="80"/>
      <c r="K61" s="38">
        <f t="shared" si="26"/>
        <v>0</v>
      </c>
      <c r="L61" s="38"/>
      <c r="M61" s="38"/>
      <c r="N61" s="38"/>
      <c r="O61" s="38">
        <f t="shared" si="26"/>
        <v>3627030</v>
      </c>
      <c r="P61" s="80">
        <f>SUM(P62:P63)</f>
        <v>1239000</v>
      </c>
      <c r="Q61" s="21"/>
      <c r="R61" s="21"/>
      <c r="S61" s="21"/>
      <c r="T61" s="21"/>
    </row>
    <row r="62" spans="1:20" s="22" customFormat="1" ht="16.5" x14ac:dyDescent="0.25">
      <c r="A62" s="52"/>
      <c r="B62" s="28" t="s">
        <v>75</v>
      </c>
      <c r="C62" s="55">
        <v>226</v>
      </c>
      <c r="D62" s="33">
        <f t="shared" si="12"/>
        <v>6027530</v>
      </c>
      <c r="E62" s="33">
        <f t="shared" si="12"/>
        <v>2126773.13</v>
      </c>
      <c r="F62" s="33"/>
      <c r="G62" s="80">
        <f>588700+1811800</f>
        <v>2400500</v>
      </c>
      <c r="H62" s="80">
        <v>887773.13</v>
      </c>
      <c r="I62" s="38"/>
      <c r="J62" s="80"/>
      <c r="K62" s="21"/>
      <c r="L62" s="21"/>
      <c r="M62" s="38"/>
      <c r="N62" s="38"/>
      <c r="O62" s="38">
        <v>3627030</v>
      </c>
      <c r="P62" s="80">
        <v>1239000</v>
      </c>
      <c r="Q62" s="21"/>
      <c r="R62" s="21"/>
      <c r="S62" s="21"/>
      <c r="T62" s="21"/>
    </row>
    <row r="63" spans="1:20" s="22" customFormat="1" ht="16.5" x14ac:dyDescent="0.25">
      <c r="A63" s="52"/>
      <c r="B63" s="28" t="s">
        <v>285</v>
      </c>
      <c r="C63" s="55">
        <v>226</v>
      </c>
      <c r="D63" s="33">
        <f t="shared" si="12"/>
        <v>7460887</v>
      </c>
      <c r="E63" s="33">
        <f t="shared" si="12"/>
        <v>1768813.29</v>
      </c>
      <c r="F63" s="33"/>
      <c r="G63" s="80">
        <f>852869+6608018</f>
        <v>7460887</v>
      </c>
      <c r="H63" s="80">
        <f>2656586.42-H62</f>
        <v>1768813.29</v>
      </c>
      <c r="I63" s="38"/>
      <c r="J63" s="80"/>
      <c r="K63" s="21"/>
      <c r="L63" s="21"/>
      <c r="M63" s="21"/>
      <c r="N63" s="21"/>
      <c r="O63" s="21"/>
      <c r="P63" s="80"/>
      <c r="Q63" s="21"/>
      <c r="R63" s="21"/>
      <c r="S63" s="21"/>
      <c r="T63" s="21"/>
    </row>
    <row r="64" spans="1:20" s="22" customFormat="1" ht="16.5" x14ac:dyDescent="0.25">
      <c r="A64" s="52" t="s">
        <v>67</v>
      </c>
      <c r="B64" s="28" t="s">
        <v>68</v>
      </c>
      <c r="C64" s="55">
        <v>290</v>
      </c>
      <c r="D64" s="33">
        <f t="shared" si="12"/>
        <v>0</v>
      </c>
      <c r="E64" s="33">
        <f t="shared" si="12"/>
        <v>0</v>
      </c>
      <c r="F64" s="33"/>
      <c r="G64" s="80"/>
      <c r="H64" s="80"/>
      <c r="I64" s="38"/>
      <c r="J64" s="80"/>
      <c r="K64" s="21"/>
      <c r="L64" s="21"/>
      <c r="M64" s="21"/>
      <c r="N64" s="21"/>
      <c r="O64" s="21"/>
      <c r="P64" s="80"/>
      <c r="Q64" s="21"/>
      <c r="R64" s="21"/>
      <c r="S64" s="21"/>
      <c r="T64" s="21"/>
    </row>
    <row r="65" spans="1:20" s="22" customFormat="1" ht="16.5" x14ac:dyDescent="0.25">
      <c r="A65" s="52" t="s">
        <v>69</v>
      </c>
      <c r="B65" s="28" t="s">
        <v>70</v>
      </c>
      <c r="C65" s="55"/>
      <c r="D65" s="33">
        <f t="shared" si="12"/>
        <v>4257900</v>
      </c>
      <c r="E65" s="33">
        <f t="shared" si="12"/>
        <v>3794754.8</v>
      </c>
      <c r="F65" s="33"/>
      <c r="G65" s="80"/>
      <c r="H65" s="82">
        <f>SUM(H66:H67)</f>
        <v>72000</v>
      </c>
      <c r="I65" s="38">
        <f>SUM(I66:I67)</f>
        <v>4257900</v>
      </c>
      <c r="J65" s="80">
        <f>SUM(J66:J67)</f>
        <v>3722754.8</v>
      </c>
      <c r="K65" s="21"/>
      <c r="L65" s="21"/>
      <c r="M65" s="21"/>
      <c r="N65" s="21"/>
      <c r="O65" s="21"/>
      <c r="P65" s="80"/>
      <c r="Q65" s="21"/>
      <c r="R65" s="21"/>
      <c r="S65" s="21"/>
      <c r="T65" s="21"/>
    </row>
    <row r="66" spans="1:20" s="22" customFormat="1" ht="16.5" x14ac:dyDescent="0.25">
      <c r="A66" s="52"/>
      <c r="B66" s="28" t="s">
        <v>71</v>
      </c>
      <c r="C66" s="55">
        <v>310</v>
      </c>
      <c r="D66" s="33">
        <f t="shared" si="12"/>
        <v>0</v>
      </c>
      <c r="E66" s="33">
        <f t="shared" si="12"/>
        <v>1804498.58</v>
      </c>
      <c r="F66" s="33"/>
      <c r="G66" s="80"/>
      <c r="H66" s="80"/>
      <c r="I66" s="38"/>
      <c r="J66" s="80">
        <v>1804498.58</v>
      </c>
      <c r="K66" s="21"/>
      <c r="L66" s="21"/>
      <c r="M66" s="21"/>
      <c r="N66" s="21"/>
      <c r="O66" s="21"/>
      <c r="P66" s="80"/>
      <c r="Q66" s="21"/>
      <c r="R66" s="21"/>
      <c r="S66" s="21"/>
      <c r="T66" s="21"/>
    </row>
    <row r="67" spans="1:20" s="22" customFormat="1" ht="16.5" x14ac:dyDescent="0.25">
      <c r="A67" s="52"/>
      <c r="B67" s="28" t="s">
        <v>72</v>
      </c>
      <c r="C67" s="55">
        <v>310</v>
      </c>
      <c r="D67" s="33">
        <f t="shared" si="12"/>
        <v>4257900</v>
      </c>
      <c r="E67" s="33">
        <f t="shared" si="12"/>
        <v>1990256.2199999997</v>
      </c>
      <c r="F67" s="33"/>
      <c r="G67" s="80"/>
      <c r="H67" s="80">
        <v>72000</v>
      </c>
      <c r="I67" s="38">
        <v>4257900</v>
      </c>
      <c r="J67" s="80">
        <f>43798+3678956.8-1804498.58</f>
        <v>1918256.2199999997</v>
      </c>
      <c r="K67" s="21"/>
      <c r="L67" s="21"/>
      <c r="M67" s="21"/>
      <c r="N67" s="21"/>
      <c r="O67" s="21"/>
      <c r="P67" s="80"/>
      <c r="Q67" s="21"/>
      <c r="R67" s="21"/>
      <c r="S67" s="21"/>
      <c r="T67" s="21"/>
    </row>
    <row r="68" spans="1:20" s="22" customFormat="1" ht="16.5" x14ac:dyDescent="0.25">
      <c r="A68" s="52" t="s">
        <v>73</v>
      </c>
      <c r="B68" s="28" t="s">
        <v>74</v>
      </c>
      <c r="C68" s="55">
        <v>340</v>
      </c>
      <c r="D68" s="33">
        <f t="shared" si="12"/>
        <v>7062099</v>
      </c>
      <c r="E68" s="33">
        <f t="shared" si="12"/>
        <v>2840461.9</v>
      </c>
      <c r="F68" s="33"/>
      <c r="G68" s="80">
        <f>SUM(G69:G71)</f>
        <v>2910900</v>
      </c>
      <c r="H68" s="80">
        <f>SUM(H69:H71)</f>
        <v>906693.13</v>
      </c>
      <c r="I68" s="38">
        <f>SUM(I69:I71)</f>
        <v>290000</v>
      </c>
      <c r="J68" s="80">
        <f>SUM(J69:J71)</f>
        <v>594608.77</v>
      </c>
      <c r="K68" s="38">
        <f t="shared" ref="K68:O68" si="27">SUM(K69:K71)</f>
        <v>21439</v>
      </c>
      <c r="L68" s="38"/>
      <c r="M68" s="38"/>
      <c r="N68" s="38"/>
      <c r="O68" s="38">
        <f t="shared" si="27"/>
        <v>3839760</v>
      </c>
      <c r="P68" s="80">
        <f>SUM(P69:P71)</f>
        <v>1339160</v>
      </c>
      <c r="Q68" s="21"/>
      <c r="R68" s="21"/>
      <c r="S68" s="21"/>
      <c r="T68" s="21"/>
    </row>
    <row r="69" spans="1:20" s="22" customFormat="1" ht="16.5" x14ac:dyDescent="0.25">
      <c r="A69" s="52"/>
      <c r="B69" s="28" t="s">
        <v>75</v>
      </c>
      <c r="C69" s="55">
        <v>340</v>
      </c>
      <c r="D69" s="33">
        <f t="shared" si="12"/>
        <v>6074660</v>
      </c>
      <c r="E69" s="33">
        <f t="shared" si="12"/>
        <v>2182537.73</v>
      </c>
      <c r="F69" s="33"/>
      <c r="G69" s="80">
        <v>2234900</v>
      </c>
      <c r="H69" s="80">
        <v>843377.73</v>
      </c>
      <c r="I69" s="38"/>
      <c r="J69" s="80"/>
      <c r="K69" s="21"/>
      <c r="L69" s="21"/>
      <c r="M69" s="38"/>
      <c r="N69" s="38"/>
      <c r="O69" s="38">
        <v>3839760</v>
      </c>
      <c r="P69" s="80">
        <v>1339160</v>
      </c>
      <c r="Q69" s="21"/>
      <c r="R69" s="21"/>
      <c r="S69" s="21"/>
      <c r="T69" s="21"/>
    </row>
    <row r="70" spans="1:20" s="22" customFormat="1" ht="16.5" x14ac:dyDescent="0.25">
      <c r="A70" s="52"/>
      <c r="B70" s="28" t="s">
        <v>76</v>
      </c>
      <c r="C70" s="55">
        <v>340</v>
      </c>
      <c r="D70" s="33">
        <f t="shared" si="12"/>
        <v>311439</v>
      </c>
      <c r="E70" s="33">
        <f t="shared" si="12"/>
        <v>594608.77</v>
      </c>
      <c r="F70" s="33"/>
      <c r="G70" s="80"/>
      <c r="H70" s="80"/>
      <c r="I70" s="38">
        <v>290000</v>
      </c>
      <c r="J70" s="80">
        <f>546788.77+47820</f>
        <v>594608.77</v>
      </c>
      <c r="K70" s="38">
        <v>21439</v>
      </c>
      <c r="L70" s="21"/>
      <c r="M70" s="21"/>
      <c r="N70" s="21"/>
      <c r="O70" s="21"/>
      <c r="P70" s="80"/>
      <c r="Q70" s="21"/>
      <c r="R70" s="21"/>
      <c r="S70" s="21"/>
      <c r="T70" s="21"/>
    </row>
    <row r="71" spans="1:20" s="22" customFormat="1" ht="16.5" x14ac:dyDescent="0.25">
      <c r="A71" s="52"/>
      <c r="B71" s="28" t="s">
        <v>77</v>
      </c>
      <c r="C71" s="55">
        <v>340</v>
      </c>
      <c r="D71" s="33">
        <f t="shared" si="12"/>
        <v>676000</v>
      </c>
      <c r="E71" s="33">
        <f t="shared" si="12"/>
        <v>63315.400000000023</v>
      </c>
      <c r="F71" s="33"/>
      <c r="G71" s="80">
        <f>49000+627000</f>
        <v>676000</v>
      </c>
      <c r="H71" s="80">
        <f>906693.13-H69</f>
        <v>63315.400000000023</v>
      </c>
      <c r="I71" s="38"/>
      <c r="J71" s="80"/>
      <c r="K71" s="21"/>
      <c r="L71" s="21"/>
      <c r="M71" s="21"/>
      <c r="N71" s="21"/>
      <c r="O71" s="21"/>
      <c r="P71" s="80"/>
      <c r="Q71" s="21"/>
      <c r="R71" s="21"/>
      <c r="S71" s="21"/>
      <c r="T71" s="21"/>
    </row>
    <row r="72" spans="1:20" s="22" customFormat="1" ht="16.5" x14ac:dyDescent="0.25">
      <c r="A72" s="52" t="s">
        <v>78</v>
      </c>
      <c r="B72" s="28" t="s">
        <v>79</v>
      </c>
      <c r="C72" s="55"/>
      <c r="D72" s="33">
        <f t="shared" si="12"/>
        <v>1434075</v>
      </c>
      <c r="E72" s="33">
        <f t="shared" si="12"/>
        <v>191721.7</v>
      </c>
      <c r="F72" s="33"/>
      <c r="G72" s="80">
        <f>SUM(G73:G74)</f>
        <v>1434075</v>
      </c>
      <c r="H72" s="80">
        <f>SUM(H73:H74)</f>
        <v>191721.7</v>
      </c>
      <c r="I72" s="21"/>
      <c r="J72" s="80"/>
      <c r="K72" s="21"/>
      <c r="L72" s="21"/>
      <c r="M72" s="21"/>
      <c r="N72" s="21"/>
      <c r="O72" s="21"/>
      <c r="P72" s="80"/>
      <c r="Q72" s="21"/>
      <c r="R72" s="21"/>
      <c r="S72" s="21"/>
      <c r="T72" s="21"/>
    </row>
    <row r="73" spans="1:20" s="22" customFormat="1" ht="16.5" x14ac:dyDescent="0.25">
      <c r="A73" s="52"/>
      <c r="B73" s="28" t="s">
        <v>66</v>
      </c>
      <c r="C73" s="55">
        <v>226</v>
      </c>
      <c r="D73" s="33">
        <f t="shared" si="12"/>
        <v>759375</v>
      </c>
      <c r="E73" s="33">
        <f t="shared" si="12"/>
        <v>113699.5</v>
      </c>
      <c r="F73" s="33"/>
      <c r="G73" s="80">
        <f>123750+635625</f>
        <v>759375</v>
      </c>
      <c r="H73" s="80">
        <v>113699.5</v>
      </c>
      <c r="I73" s="21"/>
      <c r="J73" s="80"/>
      <c r="K73" s="21"/>
      <c r="L73" s="21"/>
      <c r="M73" s="21"/>
      <c r="N73" s="21"/>
      <c r="O73" s="21"/>
      <c r="P73" s="21"/>
      <c r="Q73" s="21"/>
      <c r="R73" s="21"/>
      <c r="S73" s="21"/>
      <c r="T73" s="21"/>
    </row>
    <row r="74" spans="1:20" s="22" customFormat="1" ht="16.5" x14ac:dyDescent="0.25">
      <c r="A74" s="52"/>
      <c r="B74" s="58" t="s">
        <v>74</v>
      </c>
      <c r="C74" s="55">
        <v>340</v>
      </c>
      <c r="D74" s="33">
        <f t="shared" si="12"/>
        <v>674700</v>
      </c>
      <c r="E74" s="33">
        <f t="shared" si="12"/>
        <v>78022.2</v>
      </c>
      <c r="F74" s="33"/>
      <c r="G74" s="80">
        <f>-129675+804375</f>
        <v>674700</v>
      </c>
      <c r="H74" s="80">
        <v>78022.2</v>
      </c>
      <c r="I74" s="21"/>
      <c r="J74" s="80"/>
      <c r="K74" s="21"/>
      <c r="L74" s="21"/>
      <c r="M74" s="21"/>
      <c r="N74" s="21"/>
      <c r="O74" s="21"/>
      <c r="P74" s="21"/>
      <c r="Q74" s="21"/>
      <c r="R74" s="21"/>
      <c r="S74" s="21"/>
      <c r="T74" s="21"/>
    </row>
    <row r="75" spans="1:20" s="22" customFormat="1" ht="16.5" hidden="1" x14ac:dyDescent="0.25">
      <c r="A75" s="52"/>
      <c r="B75" s="58"/>
      <c r="C75" s="55"/>
      <c r="D75" s="33">
        <f t="shared" si="12"/>
        <v>0</v>
      </c>
      <c r="E75" s="33">
        <f t="shared" si="12"/>
        <v>0</v>
      </c>
      <c r="F75" s="33"/>
      <c r="G75" s="80"/>
      <c r="H75" s="80"/>
      <c r="I75" s="21"/>
      <c r="J75" s="80"/>
      <c r="K75" s="21"/>
      <c r="L75" s="21"/>
      <c r="M75" s="21"/>
      <c r="N75" s="21"/>
      <c r="O75" s="21"/>
      <c r="P75" s="21"/>
      <c r="Q75" s="21"/>
      <c r="R75" s="21"/>
      <c r="S75" s="21"/>
      <c r="T75" s="21"/>
    </row>
    <row r="76" spans="1:20" s="22" customFormat="1" ht="16.5" hidden="1" x14ac:dyDescent="0.25">
      <c r="A76" s="52"/>
      <c r="B76" s="58"/>
      <c r="C76" s="55"/>
      <c r="D76" s="33">
        <f t="shared" si="12"/>
        <v>0</v>
      </c>
      <c r="E76" s="33">
        <f t="shared" si="12"/>
        <v>0</v>
      </c>
      <c r="F76" s="33"/>
      <c r="G76" s="80"/>
      <c r="H76" s="80"/>
      <c r="I76" s="21"/>
      <c r="J76" s="80"/>
      <c r="K76" s="21"/>
      <c r="L76" s="21"/>
      <c r="M76" s="21"/>
      <c r="N76" s="21"/>
      <c r="O76" s="21"/>
      <c r="P76" s="21"/>
      <c r="Q76" s="21"/>
      <c r="R76" s="21"/>
      <c r="S76" s="21"/>
      <c r="T76" s="21"/>
    </row>
    <row r="77" spans="1:20" s="22" customFormat="1" ht="16.5" hidden="1" x14ac:dyDescent="0.25">
      <c r="A77" s="52"/>
      <c r="B77" s="58"/>
      <c r="C77" s="55"/>
      <c r="D77" s="33">
        <f t="shared" si="12"/>
        <v>0</v>
      </c>
      <c r="E77" s="33">
        <f t="shared" si="12"/>
        <v>0</v>
      </c>
      <c r="F77" s="33"/>
      <c r="G77" s="80"/>
      <c r="H77" s="80"/>
      <c r="I77" s="21"/>
      <c r="J77" s="80"/>
      <c r="K77" s="21"/>
      <c r="L77" s="21"/>
      <c r="M77" s="21"/>
      <c r="N77" s="21"/>
      <c r="O77" s="21"/>
      <c r="P77" s="21"/>
      <c r="Q77" s="21"/>
      <c r="R77" s="21"/>
      <c r="S77" s="21"/>
      <c r="T77" s="21"/>
    </row>
    <row r="78" spans="1:20" s="20" customFormat="1" ht="17.25" x14ac:dyDescent="0.25">
      <c r="A78" s="59" t="s">
        <v>21</v>
      </c>
      <c r="B78" s="48" t="s">
        <v>22</v>
      </c>
      <c r="C78" s="54"/>
      <c r="D78" s="33">
        <f t="shared" si="12"/>
        <v>20142957</v>
      </c>
      <c r="E78" s="33">
        <f t="shared" si="12"/>
        <v>7395159.1500000004</v>
      </c>
      <c r="F78" s="33"/>
      <c r="G78" s="80">
        <f>SUM(G79:G81)</f>
        <v>20142957</v>
      </c>
      <c r="H78" s="80">
        <f>SUM(H79:H81)</f>
        <v>7395159.1500000004</v>
      </c>
      <c r="I78" s="25">
        <f>SUM(I79:I81)</f>
        <v>0</v>
      </c>
      <c r="J78" s="80"/>
      <c r="K78" s="25">
        <f>SUM(K79:K81)</f>
        <v>0</v>
      </c>
      <c r="L78" s="25"/>
      <c r="M78" s="25">
        <f>SUM(M79:M81)</f>
        <v>0</v>
      </c>
      <c r="N78" s="25"/>
      <c r="O78" s="25">
        <f>SUM(O79:O81)</f>
        <v>0</v>
      </c>
      <c r="P78" s="25"/>
      <c r="Q78" s="25"/>
      <c r="R78" s="25"/>
      <c r="S78" s="25"/>
      <c r="T78" s="25"/>
    </row>
    <row r="79" spans="1:20" s="22" customFormat="1" ht="16.5" x14ac:dyDescent="0.25">
      <c r="A79" s="52"/>
      <c r="B79" s="28" t="s">
        <v>80</v>
      </c>
      <c r="C79" s="55">
        <v>290</v>
      </c>
      <c r="D79" s="33">
        <f t="shared" si="12"/>
        <v>3976153</v>
      </c>
      <c r="E79" s="33">
        <f t="shared" si="12"/>
        <v>1908227</v>
      </c>
      <c r="F79" s="33"/>
      <c r="G79" s="80">
        <f>2399421+1576732</f>
        <v>3976153</v>
      </c>
      <c r="H79" s="80">
        <v>1908227</v>
      </c>
      <c r="I79" s="21"/>
      <c r="J79" s="80"/>
      <c r="K79" s="21"/>
      <c r="L79" s="21"/>
      <c r="M79" s="21"/>
      <c r="N79" s="21"/>
      <c r="O79" s="21"/>
      <c r="P79" s="21"/>
      <c r="Q79" s="21"/>
      <c r="R79" s="21"/>
      <c r="S79" s="21"/>
      <c r="T79" s="21"/>
    </row>
    <row r="80" spans="1:20" s="22" customFormat="1" ht="16.5" x14ac:dyDescent="0.25">
      <c r="A80" s="50"/>
      <c r="B80" s="28" t="s">
        <v>81</v>
      </c>
      <c r="C80" s="55">
        <v>290</v>
      </c>
      <c r="D80" s="33">
        <f t="shared" si="12"/>
        <v>15860260</v>
      </c>
      <c r="E80" s="33">
        <f t="shared" si="12"/>
        <v>5291328.87</v>
      </c>
      <c r="F80" s="33"/>
      <c r="G80" s="80">
        <f>-5275425+21135685</f>
        <v>15860260</v>
      </c>
      <c r="H80" s="80">
        <v>5291328.87</v>
      </c>
      <c r="I80" s="21"/>
      <c r="J80" s="80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spans="1:20" s="22" customFormat="1" ht="16.5" x14ac:dyDescent="0.25">
      <c r="A81" s="50"/>
      <c r="B81" s="28" t="s">
        <v>82</v>
      </c>
      <c r="C81" s="55">
        <v>290</v>
      </c>
      <c r="D81" s="33">
        <f t="shared" si="12"/>
        <v>306544</v>
      </c>
      <c r="E81" s="33">
        <f t="shared" si="12"/>
        <v>195603.28</v>
      </c>
      <c r="F81" s="33"/>
      <c r="G81" s="80">
        <f>4376+305168-3000</f>
        <v>306544</v>
      </c>
      <c r="H81" s="80">
        <f>192603.28+3000</f>
        <v>195603.28</v>
      </c>
      <c r="I81" s="21"/>
      <c r="J81" s="80"/>
      <c r="K81" s="21"/>
      <c r="L81" s="21"/>
      <c r="M81" s="21"/>
      <c r="N81" s="21"/>
      <c r="O81" s="21"/>
      <c r="P81" s="21"/>
      <c r="Q81" s="21"/>
      <c r="R81" s="21"/>
      <c r="S81" s="21"/>
      <c r="T81" s="21"/>
    </row>
    <row r="82" spans="1:20" s="20" customFormat="1" ht="17.25" hidden="1" x14ac:dyDescent="0.25">
      <c r="A82" s="59" t="s">
        <v>23</v>
      </c>
      <c r="B82" s="48" t="s">
        <v>24</v>
      </c>
      <c r="C82" s="54"/>
      <c r="D82" s="33">
        <f t="shared" si="12"/>
        <v>0</v>
      </c>
      <c r="E82" s="33">
        <f t="shared" si="12"/>
        <v>0</v>
      </c>
      <c r="F82" s="33"/>
      <c r="G82" s="25">
        <f>SUM(G83)</f>
        <v>0</v>
      </c>
      <c r="H82" s="25"/>
      <c r="I82" s="25">
        <f>SUM(I83)</f>
        <v>0</v>
      </c>
      <c r="J82" s="80"/>
      <c r="K82" s="25">
        <f>SUM(K83)</f>
        <v>0</v>
      </c>
      <c r="L82" s="25"/>
      <c r="M82" s="25">
        <f>SUM(M83)</f>
        <v>0</v>
      </c>
      <c r="N82" s="25"/>
      <c r="O82" s="25">
        <f>SUM(O83)</f>
        <v>0</v>
      </c>
      <c r="P82" s="25"/>
      <c r="Q82" s="25"/>
      <c r="R82" s="25"/>
      <c r="S82" s="25"/>
      <c r="T82" s="25"/>
    </row>
    <row r="83" spans="1:20" s="22" customFormat="1" ht="16.5" hidden="1" x14ac:dyDescent="0.25">
      <c r="A83" s="52"/>
      <c r="B83" s="58" t="s">
        <v>74</v>
      </c>
      <c r="C83" s="55">
        <v>340</v>
      </c>
      <c r="D83" s="33">
        <f t="shared" si="12"/>
        <v>0</v>
      </c>
      <c r="E83" s="33">
        <f t="shared" si="12"/>
        <v>0</v>
      </c>
      <c r="F83" s="33"/>
      <c r="G83" s="38"/>
      <c r="H83" s="38"/>
      <c r="I83" s="21"/>
      <c r="J83" s="80"/>
      <c r="K83" s="21"/>
      <c r="L83" s="21"/>
      <c r="M83" s="21"/>
      <c r="N83" s="21"/>
      <c r="O83" s="21"/>
      <c r="P83" s="21"/>
      <c r="Q83" s="21"/>
      <c r="R83" s="21"/>
      <c r="S83" s="21"/>
      <c r="T83" s="21"/>
    </row>
    <row r="84" spans="1:20" s="20" customFormat="1" ht="17.25" x14ac:dyDescent="0.25">
      <c r="A84" s="59" t="s">
        <v>25</v>
      </c>
      <c r="B84" s="48" t="s">
        <v>26</v>
      </c>
      <c r="C84" s="54"/>
      <c r="D84" s="25">
        <f t="shared" ref="D84" si="28">SUM(D85+D165+D168+D174+D180)</f>
        <v>185506134.25</v>
      </c>
      <c r="E84" s="25">
        <f t="shared" ref="E84" si="29">SUM(E85+E165+E168+E174+E180)</f>
        <v>35166157.689999998</v>
      </c>
      <c r="F84" s="25">
        <f t="shared" ref="F84" si="30">SUM(F85+F165+F168+F174+F180)</f>
        <v>0</v>
      </c>
      <c r="G84" s="25">
        <f t="shared" ref="G84" si="31">SUM(G85+G165+G168+G174+G180)</f>
        <v>185329357.94</v>
      </c>
      <c r="H84" s="25">
        <f t="shared" ref="H84" si="32">SUM(H85+H165+H168+H174+H180)</f>
        <v>35166157.689999998</v>
      </c>
      <c r="I84" s="25">
        <f t="shared" ref="I84" si="33">SUM(I85+I165+I168+I174+I180)</f>
        <v>0</v>
      </c>
      <c r="J84" s="25">
        <f t="shared" ref="J84" si="34">SUM(J85+J165+J168+J174+J180)</f>
        <v>0</v>
      </c>
      <c r="K84" s="25">
        <f t="shared" ref="K84" si="35">SUM(K85+K165+K168+K174+K180)</f>
        <v>0</v>
      </c>
      <c r="L84" s="25">
        <f t="shared" ref="L84" si="36">SUM(L85+L165+L168+L174+L180)</f>
        <v>0</v>
      </c>
      <c r="M84" s="25">
        <f t="shared" ref="M84" si="37">SUM(M85+M165+M168+M174+M180)</f>
        <v>0</v>
      </c>
      <c r="N84" s="25">
        <f t="shared" ref="N84" si="38">SUM(N85+N165+N168+N174+N180)</f>
        <v>0</v>
      </c>
      <c r="O84" s="25">
        <f t="shared" ref="O84" si="39">SUM(O85+O165+O168+O174+O180)</f>
        <v>0</v>
      </c>
      <c r="P84" s="25">
        <f t="shared" ref="P84" si="40">SUM(P85+P165+P168+P174+P180)</f>
        <v>0</v>
      </c>
      <c r="Q84" s="25">
        <f t="shared" ref="Q84" si="41">SUM(Q85+Q165+Q168+Q174+Q180)</f>
        <v>176776.31</v>
      </c>
      <c r="R84" s="25">
        <f t="shared" ref="R84" si="42">SUM(R85+R165+R168+R174+R180)</f>
        <v>0</v>
      </c>
      <c r="S84" s="25">
        <f t="shared" ref="S84" si="43">SUM(S85+S165+S168+S174+S180)</f>
        <v>0</v>
      </c>
      <c r="T84" s="25">
        <f t="shared" ref="T84" si="44">SUM(T85+T165+T168+T174+T180)</f>
        <v>0</v>
      </c>
    </row>
    <row r="85" spans="1:20" s="20" customFormat="1" ht="51.75" x14ac:dyDescent="0.25">
      <c r="A85" s="59" t="s">
        <v>27</v>
      </c>
      <c r="B85" s="48" t="s">
        <v>83</v>
      </c>
      <c r="C85" s="54"/>
      <c r="D85" s="25">
        <f t="shared" ref="D85:P85" si="45">SUM(D86+D89+D99+D118+D129+D135)+D123</f>
        <v>180711055.25</v>
      </c>
      <c r="E85" s="25">
        <f t="shared" si="45"/>
        <v>33900556.629999995</v>
      </c>
      <c r="F85" s="25">
        <f t="shared" si="45"/>
        <v>0</v>
      </c>
      <c r="G85" s="25">
        <f t="shared" si="45"/>
        <v>180534278.94</v>
      </c>
      <c r="H85" s="25">
        <f t="shared" si="45"/>
        <v>33900556.629999995</v>
      </c>
      <c r="I85" s="25">
        <f t="shared" si="45"/>
        <v>0</v>
      </c>
      <c r="J85" s="25">
        <f t="shared" si="45"/>
        <v>0</v>
      </c>
      <c r="K85" s="25">
        <f t="shared" si="45"/>
        <v>0</v>
      </c>
      <c r="L85" s="25">
        <f t="shared" si="45"/>
        <v>0</v>
      </c>
      <c r="M85" s="25">
        <f t="shared" si="45"/>
        <v>0</v>
      </c>
      <c r="N85" s="25">
        <f t="shared" si="45"/>
        <v>0</v>
      </c>
      <c r="O85" s="25">
        <f t="shared" si="45"/>
        <v>0</v>
      </c>
      <c r="P85" s="25">
        <f t="shared" si="45"/>
        <v>0</v>
      </c>
      <c r="Q85" s="25">
        <f>SUM(Q86+Q89+Q99+Q118+Q129+Q135)+Q123</f>
        <v>176776.31</v>
      </c>
      <c r="R85" s="25">
        <f t="shared" ref="R85:T85" si="46">SUM(R86+R89+R99+R118+R129+R135)+R123</f>
        <v>0</v>
      </c>
      <c r="S85" s="25">
        <f t="shared" si="46"/>
        <v>0</v>
      </c>
      <c r="T85" s="25">
        <f t="shared" si="46"/>
        <v>0</v>
      </c>
    </row>
    <row r="86" spans="1:20" s="20" customFormat="1" ht="17.25" x14ac:dyDescent="0.25">
      <c r="A86" s="59" t="s">
        <v>84</v>
      </c>
      <c r="B86" s="48" t="s">
        <v>85</v>
      </c>
      <c r="C86" s="54"/>
      <c r="D86" s="33">
        <f t="shared" si="12"/>
        <v>91683463</v>
      </c>
      <c r="E86" s="33">
        <f t="shared" si="12"/>
        <v>22747654.629999999</v>
      </c>
      <c r="F86" s="33"/>
      <c r="G86" s="25">
        <f>SUM(G87:G88)</f>
        <v>91683463</v>
      </c>
      <c r="H86" s="25">
        <f t="shared" ref="H86:I86" si="47">SUM(H87:H88)</f>
        <v>22747654.629999999</v>
      </c>
      <c r="I86" s="25">
        <f t="shared" si="47"/>
        <v>0</v>
      </c>
      <c r="J86" s="25"/>
      <c r="K86" s="25">
        <f>SUM(K87:K88)</f>
        <v>0</v>
      </c>
      <c r="L86" s="25"/>
      <c r="M86" s="25">
        <f>SUM(M87:M88)</f>
        <v>0</v>
      </c>
      <c r="N86" s="25"/>
      <c r="O86" s="25">
        <f>SUM(O87:O88)</f>
        <v>0</v>
      </c>
      <c r="P86" s="25"/>
      <c r="Q86" s="25"/>
      <c r="R86" s="25"/>
      <c r="S86" s="25"/>
      <c r="T86" s="25"/>
    </row>
    <row r="87" spans="1:20" s="26" customFormat="1" ht="16.5" x14ac:dyDescent="0.25">
      <c r="A87" s="60"/>
      <c r="B87" s="28" t="s">
        <v>86</v>
      </c>
      <c r="C87" s="55">
        <v>225</v>
      </c>
      <c r="D87" s="33">
        <f t="shared" si="12"/>
        <v>89878430</v>
      </c>
      <c r="E87" s="33">
        <f t="shared" si="12"/>
        <v>22747654.629999999</v>
      </c>
      <c r="F87" s="33"/>
      <c r="G87" s="90">
        <f>15770000+65000000+2436259+6672171</f>
        <v>89878430</v>
      </c>
      <c r="H87" s="38">
        <v>22747654.629999999</v>
      </c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</row>
    <row r="88" spans="1:20" s="26" customFormat="1" ht="16.5" x14ac:dyDescent="0.25">
      <c r="A88" s="52"/>
      <c r="B88" s="28" t="s">
        <v>87</v>
      </c>
      <c r="C88" s="55">
        <v>226</v>
      </c>
      <c r="D88" s="33">
        <f t="shared" si="12"/>
        <v>1805033</v>
      </c>
      <c r="E88" s="33">
        <f t="shared" si="12"/>
        <v>0</v>
      </c>
      <c r="F88" s="33"/>
      <c r="G88" s="90">
        <v>1805033</v>
      </c>
      <c r="H88" s="38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</row>
    <row r="89" spans="1:20" s="20" customFormat="1" ht="17.25" x14ac:dyDescent="0.25">
      <c r="A89" s="59" t="s">
        <v>88</v>
      </c>
      <c r="B89" s="48" t="s">
        <v>89</v>
      </c>
      <c r="C89" s="54"/>
      <c r="D89" s="33">
        <f t="shared" si="12"/>
        <v>81460087.939999998</v>
      </c>
      <c r="E89" s="33">
        <f t="shared" si="12"/>
        <v>10836902</v>
      </c>
      <c r="F89" s="33"/>
      <c r="G89" s="25">
        <f>SUM(G90:G98)</f>
        <v>81460087.939999998</v>
      </c>
      <c r="H89" s="25">
        <f t="shared" ref="H89:J89" si="48">SUM(H90:H98)</f>
        <v>10836902</v>
      </c>
      <c r="I89" s="25">
        <f t="shared" si="48"/>
        <v>0</v>
      </c>
      <c r="J89" s="25">
        <f t="shared" si="48"/>
        <v>0</v>
      </c>
      <c r="K89" s="25">
        <f>SUM(K90:K98)</f>
        <v>0</v>
      </c>
      <c r="L89" s="25"/>
      <c r="M89" s="25">
        <f>SUM(M90:M98)</f>
        <v>0</v>
      </c>
      <c r="N89" s="25"/>
      <c r="O89" s="25">
        <f>SUM(O90:O98)</f>
        <v>0</v>
      </c>
      <c r="P89" s="25"/>
      <c r="Q89" s="25"/>
      <c r="R89" s="25"/>
      <c r="S89" s="25"/>
      <c r="T89" s="25"/>
    </row>
    <row r="90" spans="1:20" s="26" customFormat="1" ht="16.5" x14ac:dyDescent="0.25">
      <c r="A90" s="52" t="s">
        <v>90</v>
      </c>
      <c r="B90" s="28" t="s">
        <v>91</v>
      </c>
      <c r="C90" s="55">
        <v>225</v>
      </c>
      <c r="D90" s="33">
        <f t="shared" si="12"/>
        <v>60739500</v>
      </c>
      <c r="E90" s="33">
        <f t="shared" si="12"/>
        <v>10711906</v>
      </c>
      <c r="F90" s="33"/>
      <c r="G90" s="90">
        <f>36652247.21+24087252.79</f>
        <v>60739500</v>
      </c>
      <c r="H90" s="80">
        <v>10711906</v>
      </c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</row>
    <row r="91" spans="1:20" s="26" customFormat="1" ht="16.5" x14ac:dyDescent="0.25">
      <c r="A91" s="52" t="s">
        <v>90</v>
      </c>
      <c r="B91" s="28" t="s">
        <v>87</v>
      </c>
      <c r="C91" s="55">
        <v>226</v>
      </c>
      <c r="D91" s="33">
        <f t="shared" si="12"/>
        <v>194996</v>
      </c>
      <c r="E91" s="33">
        <f t="shared" si="12"/>
        <v>124996</v>
      </c>
      <c r="F91" s="33"/>
      <c r="G91" s="38">
        <f>70000+124996</f>
        <v>194996</v>
      </c>
      <c r="H91" s="38">
        <v>124996</v>
      </c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</row>
    <row r="92" spans="1:20" s="26" customFormat="1" ht="16.5" x14ac:dyDescent="0.25">
      <c r="A92" s="52" t="s">
        <v>92</v>
      </c>
      <c r="B92" s="28" t="s">
        <v>93</v>
      </c>
      <c r="C92" s="55">
        <v>340</v>
      </c>
      <c r="D92" s="33">
        <f t="shared" si="12"/>
        <v>2624691.94</v>
      </c>
      <c r="E92" s="33">
        <f t="shared" si="12"/>
        <v>0</v>
      </c>
      <c r="F92" s="33"/>
      <c r="G92" s="38">
        <f>200000+1411749+1212942.94-200000</f>
        <v>2624691.94</v>
      </c>
      <c r="H92" s="38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</row>
    <row r="93" spans="1:20" s="26" customFormat="1" ht="16.5" x14ac:dyDescent="0.25">
      <c r="A93" s="52" t="s">
        <v>94</v>
      </c>
      <c r="B93" s="28" t="s">
        <v>95</v>
      </c>
      <c r="C93" s="55">
        <v>310</v>
      </c>
      <c r="D93" s="33">
        <f t="shared" si="12"/>
        <v>17687900</v>
      </c>
      <c r="E93" s="33">
        <f t="shared" si="12"/>
        <v>0</v>
      </c>
      <c r="F93" s="33"/>
      <c r="G93" s="90">
        <f>7637900+10050000</f>
        <v>17687900</v>
      </c>
      <c r="H93" s="38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</row>
    <row r="94" spans="1:20" s="26" customFormat="1" ht="33" hidden="1" x14ac:dyDescent="0.25">
      <c r="A94" s="52" t="s">
        <v>96</v>
      </c>
      <c r="B94" s="28" t="s">
        <v>97</v>
      </c>
      <c r="C94" s="55">
        <v>225</v>
      </c>
      <c r="D94" s="33">
        <f t="shared" si="12"/>
        <v>0</v>
      </c>
      <c r="E94" s="33">
        <f t="shared" si="12"/>
        <v>0</v>
      </c>
      <c r="F94" s="33"/>
      <c r="G94" s="38"/>
      <c r="H94" s="38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</row>
    <row r="95" spans="1:20" s="26" customFormat="1" ht="33" x14ac:dyDescent="0.25">
      <c r="A95" s="52" t="s">
        <v>96</v>
      </c>
      <c r="B95" s="28" t="s">
        <v>97</v>
      </c>
      <c r="C95" s="55">
        <v>226</v>
      </c>
      <c r="D95" s="33">
        <f t="shared" si="12"/>
        <v>213000</v>
      </c>
      <c r="E95" s="33">
        <f t="shared" si="12"/>
        <v>0</v>
      </c>
      <c r="F95" s="33"/>
      <c r="G95" s="38">
        <v>213000</v>
      </c>
      <c r="H95" s="38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</row>
    <row r="96" spans="1:20" s="26" customFormat="1" ht="33" hidden="1" x14ac:dyDescent="0.25">
      <c r="A96" s="52" t="s">
        <v>96</v>
      </c>
      <c r="B96" s="28" t="s">
        <v>97</v>
      </c>
      <c r="C96" s="55">
        <v>340</v>
      </c>
      <c r="D96" s="33">
        <f t="shared" si="12"/>
        <v>0</v>
      </c>
      <c r="E96" s="33">
        <f t="shared" si="12"/>
        <v>0</v>
      </c>
      <c r="F96" s="33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</row>
    <row r="97" spans="1:20" s="26" customFormat="1" ht="16.5" hidden="1" x14ac:dyDescent="0.25">
      <c r="A97" s="52" t="s">
        <v>98</v>
      </c>
      <c r="B97" s="28" t="s">
        <v>99</v>
      </c>
      <c r="C97" s="55">
        <v>310</v>
      </c>
      <c r="D97" s="33">
        <f t="shared" ref="D97:E166" si="49">SUM(G97+I97+K97+M97+O97+Q97+S97)</f>
        <v>0</v>
      </c>
      <c r="E97" s="33">
        <f t="shared" si="49"/>
        <v>0</v>
      </c>
      <c r="F97" s="33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</row>
    <row r="98" spans="1:20" s="26" customFormat="1" ht="16.5" hidden="1" x14ac:dyDescent="0.25">
      <c r="A98" s="52" t="s">
        <v>98</v>
      </c>
      <c r="B98" s="28" t="s">
        <v>99</v>
      </c>
      <c r="C98" s="55">
        <v>340</v>
      </c>
      <c r="D98" s="33">
        <f t="shared" si="49"/>
        <v>0</v>
      </c>
      <c r="E98" s="33">
        <f t="shared" si="49"/>
        <v>0</v>
      </c>
      <c r="F98" s="33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</row>
    <row r="99" spans="1:20" s="18" customFormat="1" ht="17.25" x14ac:dyDescent="0.25">
      <c r="A99" s="61" t="s">
        <v>100</v>
      </c>
      <c r="B99" s="62" t="s">
        <v>101</v>
      </c>
      <c r="C99" s="49"/>
      <c r="D99" s="33">
        <f t="shared" si="49"/>
        <v>1145528</v>
      </c>
      <c r="E99" s="33">
        <f t="shared" si="49"/>
        <v>36000</v>
      </c>
      <c r="F99" s="33"/>
      <c r="G99" s="34">
        <f>SUM(G100:G117)</f>
        <v>1145528</v>
      </c>
      <c r="H99" s="34">
        <f>SUM(H100:H117)</f>
        <v>36000</v>
      </c>
      <c r="I99" s="34">
        <f>SUM(I100:I117)</f>
        <v>0</v>
      </c>
      <c r="J99" s="34"/>
      <c r="K99" s="34">
        <f>SUM(K100:K117)</f>
        <v>0</v>
      </c>
      <c r="L99" s="34"/>
      <c r="M99" s="34">
        <f>SUM(M100:M117)</f>
        <v>0</v>
      </c>
      <c r="N99" s="34"/>
      <c r="O99" s="34">
        <f>SUM(O100:O117)</f>
        <v>0</v>
      </c>
      <c r="P99" s="34"/>
      <c r="Q99" s="34"/>
      <c r="R99" s="34"/>
      <c r="S99" s="34"/>
      <c r="T99" s="34"/>
    </row>
    <row r="100" spans="1:20" s="27" customFormat="1" ht="33" x14ac:dyDescent="0.25">
      <c r="A100" s="63" t="s">
        <v>102</v>
      </c>
      <c r="B100" s="58" t="s">
        <v>103</v>
      </c>
      <c r="C100" s="51">
        <v>226</v>
      </c>
      <c r="D100" s="33">
        <f t="shared" si="49"/>
        <v>0</v>
      </c>
      <c r="E100" s="33">
        <f t="shared" si="49"/>
        <v>0</v>
      </c>
      <c r="F100" s="33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</row>
    <row r="101" spans="1:20" s="27" customFormat="1" ht="33" x14ac:dyDescent="0.25">
      <c r="A101" s="63" t="s">
        <v>102</v>
      </c>
      <c r="B101" s="58" t="s">
        <v>103</v>
      </c>
      <c r="C101" s="51">
        <v>310</v>
      </c>
      <c r="D101" s="33">
        <f t="shared" si="49"/>
        <v>0</v>
      </c>
      <c r="E101" s="33">
        <f t="shared" si="49"/>
        <v>0</v>
      </c>
      <c r="F101" s="33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</row>
    <row r="102" spans="1:20" s="27" customFormat="1" ht="16.5" x14ac:dyDescent="0.25">
      <c r="A102" s="63" t="s">
        <v>104</v>
      </c>
      <c r="B102" s="58" t="s">
        <v>105</v>
      </c>
      <c r="C102" s="51">
        <v>226</v>
      </c>
      <c r="D102" s="33">
        <f t="shared" si="49"/>
        <v>0</v>
      </c>
      <c r="E102" s="33">
        <f t="shared" si="49"/>
        <v>0</v>
      </c>
      <c r="F102" s="33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</row>
    <row r="103" spans="1:20" s="27" customFormat="1" ht="16.5" x14ac:dyDescent="0.25">
      <c r="A103" s="63" t="s">
        <v>104</v>
      </c>
      <c r="B103" s="58" t="s">
        <v>105</v>
      </c>
      <c r="C103" s="51">
        <v>310</v>
      </c>
      <c r="D103" s="33">
        <f t="shared" si="49"/>
        <v>0</v>
      </c>
      <c r="E103" s="33">
        <f t="shared" si="49"/>
        <v>0</v>
      </c>
      <c r="F103" s="33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</row>
    <row r="104" spans="1:20" s="27" customFormat="1" ht="33" x14ac:dyDescent="0.25">
      <c r="A104" s="63" t="s">
        <v>106</v>
      </c>
      <c r="B104" s="28" t="s">
        <v>107</v>
      </c>
      <c r="C104" s="51">
        <v>340</v>
      </c>
      <c r="D104" s="33">
        <f t="shared" si="49"/>
        <v>0</v>
      </c>
      <c r="E104" s="33">
        <f t="shared" si="49"/>
        <v>0</v>
      </c>
      <c r="F104" s="33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</row>
    <row r="105" spans="1:20" s="27" customFormat="1" ht="16.5" x14ac:dyDescent="0.25">
      <c r="A105" s="63" t="s">
        <v>108</v>
      </c>
      <c r="B105" s="58" t="s">
        <v>109</v>
      </c>
      <c r="C105" s="51">
        <v>226</v>
      </c>
      <c r="D105" s="33">
        <f t="shared" si="49"/>
        <v>0</v>
      </c>
      <c r="E105" s="33">
        <f t="shared" si="49"/>
        <v>0</v>
      </c>
      <c r="F105" s="33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</row>
    <row r="106" spans="1:20" s="27" customFormat="1" ht="16.5" x14ac:dyDescent="0.25">
      <c r="A106" s="63" t="s">
        <v>108</v>
      </c>
      <c r="B106" s="58" t="s">
        <v>109</v>
      </c>
      <c r="C106" s="51">
        <v>310</v>
      </c>
      <c r="D106" s="33">
        <f t="shared" si="49"/>
        <v>0</v>
      </c>
      <c r="E106" s="33">
        <f t="shared" si="49"/>
        <v>0</v>
      </c>
      <c r="F106" s="33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</row>
    <row r="107" spans="1:20" s="27" customFormat="1" ht="16.5" x14ac:dyDescent="0.25">
      <c r="A107" s="63" t="s">
        <v>110</v>
      </c>
      <c r="B107" s="58" t="s">
        <v>111</v>
      </c>
      <c r="C107" s="51">
        <v>226</v>
      </c>
      <c r="D107" s="33">
        <f t="shared" si="49"/>
        <v>0</v>
      </c>
      <c r="E107" s="33">
        <f t="shared" si="49"/>
        <v>0</v>
      </c>
      <c r="F107" s="33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</row>
    <row r="108" spans="1:20" s="27" customFormat="1" ht="16.5" x14ac:dyDescent="0.25">
      <c r="A108" s="63" t="s">
        <v>112</v>
      </c>
      <c r="B108" s="58" t="s">
        <v>113</v>
      </c>
      <c r="C108" s="51">
        <v>226</v>
      </c>
      <c r="D108" s="33">
        <f t="shared" si="49"/>
        <v>30000</v>
      </c>
      <c r="E108" s="33">
        <f t="shared" si="49"/>
        <v>0</v>
      </c>
      <c r="F108" s="33"/>
      <c r="G108" s="38">
        <v>30000</v>
      </c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</row>
    <row r="109" spans="1:20" s="27" customFormat="1" ht="33" x14ac:dyDescent="0.25">
      <c r="A109" s="63" t="s">
        <v>114</v>
      </c>
      <c r="B109" s="58" t="s">
        <v>115</v>
      </c>
      <c r="C109" s="51">
        <v>225</v>
      </c>
      <c r="D109" s="33">
        <f t="shared" si="49"/>
        <v>0</v>
      </c>
      <c r="E109" s="33">
        <f t="shared" si="49"/>
        <v>0</v>
      </c>
      <c r="F109" s="33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</row>
    <row r="110" spans="1:20" s="27" customFormat="1" ht="16.5" x14ac:dyDescent="0.25">
      <c r="A110" s="63" t="s">
        <v>116</v>
      </c>
      <c r="B110" s="58" t="s">
        <v>117</v>
      </c>
      <c r="C110" s="51">
        <v>225</v>
      </c>
      <c r="D110" s="33">
        <f t="shared" si="49"/>
        <v>1079528</v>
      </c>
      <c r="E110" s="33">
        <f t="shared" si="49"/>
        <v>0</v>
      </c>
      <c r="F110" s="33"/>
      <c r="G110" s="38">
        <v>1079528</v>
      </c>
      <c r="H110" s="38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</row>
    <row r="111" spans="1:20" s="27" customFormat="1" ht="16.5" x14ac:dyDescent="0.25">
      <c r="A111" s="63" t="s">
        <v>118</v>
      </c>
      <c r="B111" s="58" t="s">
        <v>119</v>
      </c>
      <c r="C111" s="51">
        <v>226</v>
      </c>
      <c r="D111" s="33">
        <f t="shared" si="49"/>
        <v>36000</v>
      </c>
      <c r="E111" s="33">
        <f t="shared" si="49"/>
        <v>0</v>
      </c>
      <c r="F111" s="33"/>
      <c r="G111" s="38">
        <v>36000</v>
      </c>
      <c r="H111" s="38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</row>
    <row r="112" spans="1:20" s="27" customFormat="1" ht="16.5" x14ac:dyDescent="0.25">
      <c r="A112" s="63" t="s">
        <v>118</v>
      </c>
      <c r="B112" s="58" t="s">
        <v>119</v>
      </c>
      <c r="C112" s="51">
        <v>340</v>
      </c>
      <c r="D112" s="33">
        <f t="shared" si="49"/>
        <v>0</v>
      </c>
      <c r="E112" s="33">
        <f t="shared" si="49"/>
        <v>36000</v>
      </c>
      <c r="F112" s="33"/>
      <c r="G112" s="21"/>
      <c r="H112" s="38">
        <v>36000</v>
      </c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</row>
    <row r="113" spans="1:20" s="27" customFormat="1" ht="16.5" x14ac:dyDescent="0.25">
      <c r="A113" s="63" t="s">
        <v>120</v>
      </c>
      <c r="B113" s="58" t="s">
        <v>121</v>
      </c>
      <c r="C113" s="51">
        <v>225</v>
      </c>
      <c r="D113" s="33">
        <f t="shared" si="49"/>
        <v>0</v>
      </c>
      <c r="E113" s="33">
        <f t="shared" si="49"/>
        <v>0</v>
      </c>
      <c r="F113" s="33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</row>
    <row r="114" spans="1:20" s="27" customFormat="1" ht="33" x14ac:dyDescent="0.25">
      <c r="A114" s="63" t="s">
        <v>122</v>
      </c>
      <c r="B114" s="58" t="s">
        <v>123</v>
      </c>
      <c r="C114" s="51">
        <v>225</v>
      </c>
      <c r="D114" s="33">
        <f t="shared" si="49"/>
        <v>0</v>
      </c>
      <c r="E114" s="33">
        <f t="shared" si="49"/>
        <v>0</v>
      </c>
      <c r="F114" s="33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</row>
    <row r="115" spans="1:20" s="27" customFormat="1" ht="33" x14ac:dyDescent="0.25">
      <c r="A115" s="63" t="s">
        <v>122</v>
      </c>
      <c r="B115" s="58" t="s">
        <v>123</v>
      </c>
      <c r="C115" s="51">
        <v>310</v>
      </c>
      <c r="D115" s="33">
        <f t="shared" si="49"/>
        <v>0</v>
      </c>
      <c r="E115" s="33">
        <f t="shared" si="49"/>
        <v>0</v>
      </c>
      <c r="F115" s="33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</row>
    <row r="116" spans="1:20" s="27" customFormat="1" ht="16.5" x14ac:dyDescent="0.25">
      <c r="A116" s="63" t="s">
        <v>124</v>
      </c>
      <c r="B116" s="58" t="s">
        <v>125</v>
      </c>
      <c r="C116" s="51">
        <v>225</v>
      </c>
      <c r="D116" s="33">
        <f t="shared" si="49"/>
        <v>0</v>
      </c>
      <c r="E116" s="33">
        <f t="shared" si="49"/>
        <v>0</v>
      </c>
      <c r="F116" s="33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</row>
    <row r="117" spans="1:20" s="29" customFormat="1" ht="16.5" x14ac:dyDescent="0.25">
      <c r="A117" s="63" t="s">
        <v>126</v>
      </c>
      <c r="B117" s="28" t="s">
        <v>127</v>
      </c>
      <c r="C117" s="51">
        <v>226</v>
      </c>
      <c r="D117" s="33">
        <f t="shared" si="49"/>
        <v>0</v>
      </c>
      <c r="E117" s="33">
        <f t="shared" si="49"/>
        <v>0</v>
      </c>
      <c r="F117" s="33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</row>
    <row r="118" spans="1:20" s="18" customFormat="1" ht="17.25" x14ac:dyDescent="0.25">
      <c r="A118" s="61" t="s">
        <v>128</v>
      </c>
      <c r="B118" s="62" t="s">
        <v>129</v>
      </c>
      <c r="C118" s="49"/>
      <c r="D118" s="33">
        <f t="shared" si="49"/>
        <v>0</v>
      </c>
      <c r="E118" s="33">
        <f t="shared" si="49"/>
        <v>0</v>
      </c>
      <c r="F118" s="33"/>
      <c r="G118" s="34">
        <f t="shared" ref="G118:S118" si="50">SUM(G119:G122)</f>
        <v>0</v>
      </c>
      <c r="H118" s="34"/>
      <c r="I118" s="34">
        <f t="shared" si="50"/>
        <v>0</v>
      </c>
      <c r="J118" s="34"/>
      <c r="K118" s="34">
        <f t="shared" si="50"/>
        <v>0</v>
      </c>
      <c r="L118" s="34"/>
      <c r="M118" s="34">
        <f t="shared" si="50"/>
        <v>0</v>
      </c>
      <c r="N118" s="34"/>
      <c r="O118" s="34">
        <f t="shared" si="50"/>
        <v>0</v>
      </c>
      <c r="P118" s="34"/>
      <c r="Q118" s="34"/>
      <c r="R118" s="34"/>
      <c r="S118" s="34">
        <f t="shared" si="50"/>
        <v>0</v>
      </c>
      <c r="T118" s="34">
        <f t="shared" ref="T118" si="51">SUM(T119:T122)</f>
        <v>0</v>
      </c>
    </row>
    <row r="119" spans="1:20" s="27" customFormat="1" ht="16.5" x14ac:dyDescent="0.25">
      <c r="A119" s="63" t="s">
        <v>130</v>
      </c>
      <c r="B119" s="58" t="s">
        <v>131</v>
      </c>
      <c r="C119" s="51">
        <v>310</v>
      </c>
      <c r="D119" s="33">
        <f t="shared" si="49"/>
        <v>0</v>
      </c>
      <c r="E119" s="33">
        <f t="shared" si="49"/>
        <v>0</v>
      </c>
      <c r="F119" s="33"/>
      <c r="G119" s="21"/>
      <c r="H119" s="21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21"/>
      <c r="T119" s="21"/>
    </row>
    <row r="120" spans="1:20" s="27" customFormat="1" ht="33" x14ac:dyDescent="0.25">
      <c r="A120" s="63" t="s">
        <v>132</v>
      </c>
      <c r="B120" s="58" t="s">
        <v>133</v>
      </c>
      <c r="C120" s="51">
        <v>310</v>
      </c>
      <c r="D120" s="33">
        <f t="shared" si="49"/>
        <v>0</v>
      </c>
      <c r="E120" s="33">
        <f t="shared" si="49"/>
        <v>0</v>
      </c>
      <c r="F120" s="33"/>
      <c r="G120" s="21"/>
      <c r="H120" s="21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21"/>
      <c r="T120" s="21"/>
    </row>
    <row r="121" spans="1:20" s="27" customFormat="1" ht="16.5" x14ac:dyDescent="0.25">
      <c r="A121" s="63" t="s">
        <v>134</v>
      </c>
      <c r="B121" s="58" t="s">
        <v>135</v>
      </c>
      <c r="C121" s="51">
        <v>310</v>
      </c>
      <c r="D121" s="33">
        <f t="shared" si="49"/>
        <v>0</v>
      </c>
      <c r="E121" s="33">
        <f t="shared" si="49"/>
        <v>0</v>
      </c>
      <c r="F121" s="33"/>
      <c r="G121" s="21"/>
      <c r="H121" s="21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21"/>
      <c r="T121" s="21"/>
    </row>
    <row r="122" spans="1:20" s="27" customFormat="1" ht="16.5" x14ac:dyDescent="0.25">
      <c r="A122" s="63" t="s">
        <v>136</v>
      </c>
      <c r="B122" s="58" t="s">
        <v>137</v>
      </c>
      <c r="C122" s="51">
        <v>226</v>
      </c>
      <c r="D122" s="33">
        <f t="shared" si="49"/>
        <v>0</v>
      </c>
      <c r="E122" s="33">
        <f t="shared" si="49"/>
        <v>0</v>
      </c>
      <c r="F122" s="33"/>
      <c r="G122" s="21"/>
      <c r="H122" s="21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21"/>
      <c r="T122" s="21"/>
    </row>
    <row r="123" spans="1:20" s="18" customFormat="1" ht="34.5" x14ac:dyDescent="0.25">
      <c r="A123" s="61" t="s">
        <v>287</v>
      </c>
      <c r="B123" s="62" t="s">
        <v>288</v>
      </c>
      <c r="C123" s="49"/>
      <c r="D123" s="43">
        <f t="shared" si="49"/>
        <v>176776.31</v>
      </c>
      <c r="E123" s="43">
        <f t="shared" si="49"/>
        <v>0</v>
      </c>
      <c r="F123" s="43"/>
      <c r="G123" s="23"/>
      <c r="H123" s="23"/>
      <c r="I123" s="31"/>
      <c r="J123" s="31"/>
      <c r="K123" s="31"/>
      <c r="L123" s="31"/>
      <c r="M123" s="31"/>
      <c r="N123" s="31"/>
      <c r="O123" s="31"/>
      <c r="P123" s="31"/>
      <c r="Q123" s="31">
        <f>SUM(Q124:Q128)</f>
        <v>176776.31</v>
      </c>
      <c r="R123" s="31"/>
      <c r="S123" s="23"/>
      <c r="T123" s="23"/>
    </row>
    <row r="124" spans="1:20" s="27" customFormat="1" ht="16.5" x14ac:dyDescent="0.25">
      <c r="A124" s="75"/>
      <c r="B124" s="58" t="s">
        <v>309</v>
      </c>
      <c r="C124" s="51">
        <v>226</v>
      </c>
      <c r="D124" s="33">
        <f t="shared" si="49"/>
        <v>0</v>
      </c>
      <c r="E124" s="33">
        <f t="shared" si="49"/>
        <v>0</v>
      </c>
      <c r="F124" s="33"/>
      <c r="G124" s="21"/>
      <c r="H124" s="21"/>
      <c r="I124" s="19"/>
      <c r="J124" s="19"/>
      <c r="K124" s="19"/>
      <c r="L124" s="19"/>
      <c r="M124" s="19"/>
      <c r="N124" s="19"/>
      <c r="O124" s="19"/>
      <c r="P124" s="19"/>
      <c r="Q124" s="33"/>
      <c r="R124" s="19"/>
      <c r="S124" s="21"/>
      <c r="T124" s="21"/>
    </row>
    <row r="125" spans="1:20" s="27" customFormat="1" ht="16.5" x14ac:dyDescent="0.25">
      <c r="A125" s="75"/>
      <c r="B125" s="58" t="s">
        <v>309</v>
      </c>
      <c r="C125" s="51">
        <v>222</v>
      </c>
      <c r="D125" s="33">
        <f t="shared" si="49"/>
        <v>100000</v>
      </c>
      <c r="E125" s="33"/>
      <c r="F125" s="33"/>
      <c r="G125" s="21"/>
      <c r="H125" s="21"/>
      <c r="I125" s="19"/>
      <c r="J125" s="19"/>
      <c r="K125" s="19"/>
      <c r="L125" s="19"/>
      <c r="M125" s="19"/>
      <c r="N125" s="19"/>
      <c r="O125" s="19"/>
      <c r="P125" s="19"/>
      <c r="Q125" s="33">
        <v>100000</v>
      </c>
      <c r="R125" s="19"/>
      <c r="S125" s="21"/>
      <c r="T125" s="21"/>
    </row>
    <row r="126" spans="1:20" s="27" customFormat="1" ht="16.5" x14ac:dyDescent="0.25">
      <c r="A126" s="63"/>
      <c r="B126" s="58" t="s">
        <v>309</v>
      </c>
      <c r="C126" s="51">
        <v>310</v>
      </c>
      <c r="D126" s="33">
        <f t="shared" si="49"/>
        <v>0</v>
      </c>
      <c r="E126" s="33">
        <f t="shared" si="49"/>
        <v>0</v>
      </c>
      <c r="F126" s="33"/>
      <c r="G126" s="21"/>
      <c r="H126" s="21"/>
      <c r="I126" s="19"/>
      <c r="J126" s="19"/>
      <c r="K126" s="19"/>
      <c r="L126" s="19"/>
      <c r="M126" s="19"/>
      <c r="N126" s="19"/>
      <c r="O126" s="19"/>
      <c r="P126" s="19"/>
      <c r="Q126" s="33"/>
      <c r="R126" s="19"/>
      <c r="S126" s="21"/>
      <c r="T126" s="21"/>
    </row>
    <row r="127" spans="1:20" s="27" customFormat="1" ht="16.5" x14ac:dyDescent="0.25">
      <c r="A127" s="63"/>
      <c r="B127" s="58" t="s">
        <v>309</v>
      </c>
      <c r="C127" s="51">
        <v>340</v>
      </c>
      <c r="D127" s="33">
        <f t="shared" si="49"/>
        <v>50000</v>
      </c>
      <c r="E127" s="33"/>
      <c r="F127" s="33"/>
      <c r="G127" s="21"/>
      <c r="H127" s="21"/>
      <c r="I127" s="19"/>
      <c r="J127" s="19"/>
      <c r="K127" s="19"/>
      <c r="L127" s="19"/>
      <c r="M127" s="19"/>
      <c r="N127" s="19"/>
      <c r="O127" s="19"/>
      <c r="P127" s="19"/>
      <c r="Q127" s="33">
        <v>50000</v>
      </c>
      <c r="R127" s="19"/>
      <c r="S127" s="21"/>
      <c r="T127" s="21"/>
    </row>
    <row r="128" spans="1:20" s="27" customFormat="1" ht="16.5" x14ac:dyDescent="0.25">
      <c r="A128" s="63"/>
      <c r="B128" s="58" t="s">
        <v>309</v>
      </c>
      <c r="C128" s="51">
        <v>212</v>
      </c>
      <c r="D128" s="33">
        <f t="shared" si="49"/>
        <v>26776.31</v>
      </c>
      <c r="E128" s="33">
        <f t="shared" si="49"/>
        <v>0</v>
      </c>
      <c r="F128" s="33"/>
      <c r="G128" s="21"/>
      <c r="H128" s="21"/>
      <c r="I128" s="19"/>
      <c r="J128" s="19"/>
      <c r="K128" s="19"/>
      <c r="L128" s="19"/>
      <c r="M128" s="19"/>
      <c r="N128" s="19"/>
      <c r="O128" s="19"/>
      <c r="P128" s="19"/>
      <c r="Q128" s="33">
        <v>26776.31</v>
      </c>
      <c r="R128" s="19"/>
      <c r="S128" s="21"/>
      <c r="T128" s="21"/>
    </row>
    <row r="129" spans="1:20" s="18" customFormat="1" ht="17.25" x14ac:dyDescent="0.25">
      <c r="A129" s="65" t="s">
        <v>138</v>
      </c>
      <c r="B129" s="66" t="s">
        <v>139</v>
      </c>
      <c r="C129" s="67"/>
      <c r="D129" s="33">
        <f t="shared" si="49"/>
        <v>0</v>
      </c>
      <c r="E129" s="33">
        <f t="shared" si="49"/>
        <v>0</v>
      </c>
      <c r="F129" s="33"/>
      <c r="G129" s="34">
        <f t="shared" ref="G129:T129" si="52">SUM(G130:G130)</f>
        <v>0</v>
      </c>
      <c r="H129" s="34"/>
      <c r="I129" s="34">
        <f t="shared" si="52"/>
        <v>0</v>
      </c>
      <c r="J129" s="34"/>
      <c r="K129" s="34">
        <f t="shared" si="52"/>
        <v>0</v>
      </c>
      <c r="L129" s="34"/>
      <c r="M129" s="34">
        <f t="shared" si="52"/>
        <v>0</v>
      </c>
      <c r="N129" s="34"/>
      <c r="O129" s="34">
        <f t="shared" si="52"/>
        <v>0</v>
      </c>
      <c r="P129" s="34"/>
      <c r="Q129" s="34"/>
      <c r="R129" s="34"/>
      <c r="S129" s="34">
        <f t="shared" si="52"/>
        <v>0</v>
      </c>
      <c r="T129" s="34">
        <f t="shared" si="52"/>
        <v>0</v>
      </c>
    </row>
    <row r="130" spans="1:20" s="29" customFormat="1" ht="16.5" x14ac:dyDescent="0.25">
      <c r="A130" s="68"/>
      <c r="B130" s="64" t="s">
        <v>140</v>
      </c>
      <c r="C130" s="69">
        <v>226</v>
      </c>
      <c r="D130" s="33">
        <f t="shared" si="49"/>
        <v>0</v>
      </c>
      <c r="E130" s="33">
        <f t="shared" si="49"/>
        <v>0</v>
      </c>
      <c r="F130" s="33"/>
      <c r="G130" s="21"/>
      <c r="H130" s="21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21"/>
      <c r="T130" s="21"/>
    </row>
    <row r="131" spans="1:20" s="29" customFormat="1" ht="16.5" x14ac:dyDescent="0.25">
      <c r="A131" s="68"/>
      <c r="B131" s="64"/>
      <c r="C131" s="69"/>
      <c r="D131" s="33"/>
      <c r="E131" s="33"/>
      <c r="F131" s="33"/>
      <c r="G131" s="21"/>
      <c r="H131" s="21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21"/>
      <c r="T131" s="21"/>
    </row>
    <row r="132" spans="1:20" s="29" customFormat="1" ht="16.5" x14ac:dyDescent="0.25">
      <c r="A132" s="68"/>
      <c r="B132" s="64"/>
      <c r="C132" s="69"/>
      <c r="D132" s="33"/>
      <c r="E132" s="33"/>
      <c r="F132" s="33"/>
      <c r="G132" s="21"/>
      <c r="H132" s="21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21"/>
      <c r="T132" s="21"/>
    </row>
    <row r="133" spans="1:20" s="29" customFormat="1" ht="16.5" x14ac:dyDescent="0.25">
      <c r="A133" s="68"/>
      <c r="B133" s="64"/>
      <c r="C133" s="69"/>
      <c r="D133" s="33"/>
      <c r="E133" s="33"/>
      <c r="F133" s="33"/>
      <c r="G133" s="21"/>
      <c r="H133" s="21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21"/>
      <c r="T133" s="21"/>
    </row>
    <row r="134" spans="1:20" s="29" customFormat="1" ht="16.5" x14ac:dyDescent="0.25">
      <c r="A134" s="68"/>
      <c r="B134" s="64"/>
      <c r="C134" s="69"/>
      <c r="D134" s="33"/>
      <c r="E134" s="33"/>
      <c r="F134" s="33"/>
      <c r="G134" s="21"/>
      <c r="H134" s="21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21"/>
      <c r="T134" s="21"/>
    </row>
    <row r="135" spans="1:20" s="18" customFormat="1" ht="17.25" x14ac:dyDescent="0.25">
      <c r="A135" s="61" t="s">
        <v>141</v>
      </c>
      <c r="B135" s="62" t="s">
        <v>142</v>
      </c>
      <c r="C135" s="49"/>
      <c r="D135" s="33">
        <f t="shared" si="49"/>
        <v>6245200</v>
      </c>
      <c r="E135" s="33">
        <f t="shared" si="49"/>
        <v>280000</v>
      </c>
      <c r="F135" s="33"/>
      <c r="G135" s="34">
        <f t="shared" ref="G135:S135" si="53">SUM(G136:G164)</f>
        <v>6245200</v>
      </c>
      <c r="H135" s="34">
        <f t="shared" si="53"/>
        <v>280000</v>
      </c>
      <c r="I135" s="34">
        <f t="shared" si="53"/>
        <v>0</v>
      </c>
      <c r="J135" s="34"/>
      <c r="K135" s="34">
        <f t="shared" si="53"/>
        <v>0</v>
      </c>
      <c r="L135" s="34"/>
      <c r="M135" s="34">
        <f t="shared" si="53"/>
        <v>0</v>
      </c>
      <c r="N135" s="34"/>
      <c r="O135" s="34">
        <f t="shared" si="53"/>
        <v>0</v>
      </c>
      <c r="P135" s="34"/>
      <c r="Q135" s="34"/>
      <c r="R135" s="34"/>
      <c r="S135" s="34">
        <f t="shared" si="53"/>
        <v>0</v>
      </c>
      <c r="T135" s="34">
        <f t="shared" ref="T135" si="54">SUM(T136:T164)</f>
        <v>0</v>
      </c>
    </row>
    <row r="136" spans="1:20" s="29" customFormat="1" ht="16.5" hidden="1" x14ac:dyDescent="0.25">
      <c r="A136" s="63" t="s">
        <v>143</v>
      </c>
      <c r="B136" s="58" t="s">
        <v>144</v>
      </c>
      <c r="C136" s="51">
        <v>226</v>
      </c>
      <c r="D136" s="33">
        <f t="shared" si="49"/>
        <v>0</v>
      </c>
      <c r="E136" s="33">
        <f t="shared" si="49"/>
        <v>0</v>
      </c>
      <c r="F136" s="33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</row>
    <row r="137" spans="1:20" s="6" customFormat="1" ht="16.5" hidden="1" x14ac:dyDescent="0.25">
      <c r="A137" s="63" t="s">
        <v>143</v>
      </c>
      <c r="B137" s="58" t="s">
        <v>144</v>
      </c>
      <c r="C137" s="51">
        <v>310</v>
      </c>
      <c r="D137" s="33">
        <f t="shared" si="49"/>
        <v>0</v>
      </c>
      <c r="E137" s="33">
        <f t="shared" si="49"/>
        <v>0</v>
      </c>
      <c r="F137" s="33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</row>
    <row r="138" spans="1:20" s="6" customFormat="1" ht="16.5" hidden="1" x14ac:dyDescent="0.25">
      <c r="A138" s="63" t="s">
        <v>145</v>
      </c>
      <c r="B138" s="58" t="s">
        <v>146</v>
      </c>
      <c r="C138" s="51">
        <v>226</v>
      </c>
      <c r="D138" s="33">
        <f t="shared" si="49"/>
        <v>0</v>
      </c>
      <c r="E138" s="33">
        <f t="shared" si="49"/>
        <v>0</v>
      </c>
      <c r="F138" s="33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</row>
    <row r="139" spans="1:20" s="6" customFormat="1" ht="16.5" x14ac:dyDescent="0.25">
      <c r="A139" s="63" t="s">
        <v>145</v>
      </c>
      <c r="B139" s="58" t="s">
        <v>146</v>
      </c>
      <c r="C139" s="51">
        <v>310</v>
      </c>
      <c r="D139" s="33">
        <f t="shared" si="49"/>
        <v>5000000</v>
      </c>
      <c r="E139" s="33">
        <f t="shared" si="49"/>
        <v>0</v>
      </c>
      <c r="F139" s="33"/>
      <c r="G139" s="90">
        <f>3380733.87+5000000-1380733.87-2000000</f>
        <v>5000000</v>
      </c>
      <c r="H139" s="38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</row>
    <row r="140" spans="1:20" s="6" customFormat="1" ht="16.5" hidden="1" x14ac:dyDescent="0.25">
      <c r="A140" s="63" t="s">
        <v>147</v>
      </c>
      <c r="B140" s="58" t="s">
        <v>148</v>
      </c>
      <c r="C140" s="51">
        <v>310</v>
      </c>
      <c r="D140" s="33">
        <f t="shared" si="49"/>
        <v>0</v>
      </c>
      <c r="E140" s="33">
        <f t="shared" si="49"/>
        <v>0</v>
      </c>
      <c r="F140" s="33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</row>
    <row r="141" spans="1:20" s="6" customFormat="1" ht="33" x14ac:dyDescent="0.25">
      <c r="A141" s="63" t="s">
        <v>149</v>
      </c>
      <c r="B141" s="58" t="s">
        <v>150</v>
      </c>
      <c r="C141" s="51">
        <v>310</v>
      </c>
      <c r="D141" s="33">
        <f t="shared" si="49"/>
        <v>300000</v>
      </c>
      <c r="E141" s="33">
        <f t="shared" si="49"/>
        <v>0</v>
      </c>
      <c r="F141" s="33"/>
      <c r="G141" s="38">
        <v>300000</v>
      </c>
      <c r="H141" s="38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</row>
    <row r="142" spans="1:20" s="6" customFormat="1" ht="33" hidden="1" x14ac:dyDescent="0.25">
      <c r="A142" s="63" t="s">
        <v>151</v>
      </c>
      <c r="B142" s="58" t="s">
        <v>152</v>
      </c>
      <c r="C142" s="51">
        <v>310</v>
      </c>
      <c r="D142" s="33">
        <f t="shared" si="49"/>
        <v>0</v>
      </c>
      <c r="E142" s="33">
        <f t="shared" si="49"/>
        <v>0</v>
      </c>
      <c r="F142" s="33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</row>
    <row r="143" spans="1:20" s="6" customFormat="1" ht="33" hidden="1" x14ac:dyDescent="0.25">
      <c r="A143" s="63" t="s">
        <v>153</v>
      </c>
      <c r="B143" s="28" t="s">
        <v>154</v>
      </c>
      <c r="C143" s="51">
        <v>226</v>
      </c>
      <c r="D143" s="33">
        <f t="shared" si="49"/>
        <v>0</v>
      </c>
      <c r="E143" s="33">
        <f t="shared" si="49"/>
        <v>0</v>
      </c>
      <c r="F143" s="33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</row>
    <row r="144" spans="1:20" s="6" customFormat="1" ht="16.5" hidden="1" x14ac:dyDescent="0.25">
      <c r="A144" s="63" t="s">
        <v>155</v>
      </c>
      <c r="B144" s="28" t="s">
        <v>156</v>
      </c>
      <c r="C144" s="51">
        <v>226</v>
      </c>
      <c r="D144" s="33">
        <f t="shared" si="49"/>
        <v>0</v>
      </c>
      <c r="E144" s="33">
        <f t="shared" si="49"/>
        <v>0</v>
      </c>
      <c r="F144" s="33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</row>
    <row r="145" spans="1:20" s="6" customFormat="1" ht="16.5" hidden="1" x14ac:dyDescent="0.25">
      <c r="A145" s="63" t="s">
        <v>155</v>
      </c>
      <c r="B145" s="28" t="s">
        <v>157</v>
      </c>
      <c r="C145" s="51">
        <v>310</v>
      </c>
      <c r="D145" s="33">
        <f t="shared" si="49"/>
        <v>0</v>
      </c>
      <c r="E145" s="33">
        <f t="shared" si="49"/>
        <v>0</v>
      </c>
      <c r="F145" s="33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</row>
    <row r="146" spans="1:20" s="6" customFormat="1" ht="16.5" hidden="1" x14ac:dyDescent="0.25">
      <c r="A146" s="63" t="s">
        <v>155</v>
      </c>
      <c r="B146" s="28" t="s">
        <v>157</v>
      </c>
      <c r="C146" s="51">
        <v>340</v>
      </c>
      <c r="D146" s="33">
        <f t="shared" si="49"/>
        <v>0</v>
      </c>
      <c r="E146" s="33">
        <f t="shared" si="49"/>
        <v>0</v>
      </c>
      <c r="F146" s="33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</row>
    <row r="147" spans="1:20" s="6" customFormat="1" ht="16.5" hidden="1" x14ac:dyDescent="0.25">
      <c r="A147" s="63" t="s">
        <v>158</v>
      </c>
      <c r="B147" s="28" t="s">
        <v>159</v>
      </c>
      <c r="C147" s="51">
        <v>226</v>
      </c>
      <c r="D147" s="33">
        <f t="shared" si="49"/>
        <v>0</v>
      </c>
      <c r="E147" s="33">
        <f t="shared" si="49"/>
        <v>0</v>
      </c>
      <c r="F147" s="33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</row>
    <row r="148" spans="1:20" s="6" customFormat="1" ht="49.5" x14ac:dyDescent="0.25">
      <c r="A148" s="63" t="s">
        <v>160</v>
      </c>
      <c r="B148" s="28" t="s">
        <v>284</v>
      </c>
      <c r="C148" s="51">
        <v>226</v>
      </c>
      <c r="D148" s="33">
        <f t="shared" si="49"/>
        <v>20000</v>
      </c>
      <c r="E148" s="33">
        <f t="shared" si="49"/>
        <v>4000</v>
      </c>
      <c r="F148" s="33"/>
      <c r="G148" s="38">
        <v>20000</v>
      </c>
      <c r="H148" s="38">
        <v>4000</v>
      </c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</row>
    <row r="149" spans="1:20" s="6" customFormat="1" ht="33" hidden="1" x14ac:dyDescent="0.25">
      <c r="A149" s="63" t="s">
        <v>162</v>
      </c>
      <c r="B149" s="28" t="s">
        <v>163</v>
      </c>
      <c r="C149" s="51">
        <v>226</v>
      </c>
      <c r="D149" s="33">
        <f t="shared" si="49"/>
        <v>0</v>
      </c>
      <c r="E149" s="33">
        <f t="shared" si="49"/>
        <v>0</v>
      </c>
      <c r="F149" s="33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</row>
    <row r="150" spans="1:20" s="6" customFormat="1" ht="16.5" hidden="1" x14ac:dyDescent="0.25">
      <c r="A150" s="63" t="s">
        <v>164</v>
      </c>
      <c r="B150" s="28" t="s">
        <v>165</v>
      </c>
      <c r="C150" s="51">
        <v>310</v>
      </c>
      <c r="D150" s="33">
        <f t="shared" si="49"/>
        <v>0</v>
      </c>
      <c r="E150" s="33">
        <f t="shared" si="49"/>
        <v>0</v>
      </c>
      <c r="F150" s="33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</row>
    <row r="151" spans="1:20" s="6" customFormat="1" ht="33" hidden="1" x14ac:dyDescent="0.25">
      <c r="A151" s="63" t="s">
        <v>166</v>
      </c>
      <c r="B151" s="28" t="s">
        <v>167</v>
      </c>
      <c r="C151" s="51">
        <v>226</v>
      </c>
      <c r="D151" s="33">
        <f t="shared" si="49"/>
        <v>0</v>
      </c>
      <c r="E151" s="33">
        <f t="shared" si="49"/>
        <v>0</v>
      </c>
      <c r="F151" s="33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</row>
    <row r="152" spans="1:20" s="6" customFormat="1" ht="33" hidden="1" x14ac:dyDescent="0.25">
      <c r="A152" s="63" t="s">
        <v>166</v>
      </c>
      <c r="B152" s="28" t="s">
        <v>167</v>
      </c>
      <c r="C152" s="51">
        <v>310</v>
      </c>
      <c r="D152" s="33">
        <f t="shared" si="49"/>
        <v>0</v>
      </c>
      <c r="E152" s="33">
        <f t="shared" si="49"/>
        <v>0</v>
      </c>
      <c r="F152" s="33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</row>
    <row r="153" spans="1:20" s="6" customFormat="1" ht="33" hidden="1" x14ac:dyDescent="0.25">
      <c r="A153" s="63" t="s">
        <v>168</v>
      </c>
      <c r="B153" s="28" t="s">
        <v>169</v>
      </c>
      <c r="C153" s="51">
        <v>226</v>
      </c>
      <c r="D153" s="33">
        <f t="shared" si="49"/>
        <v>0</v>
      </c>
      <c r="E153" s="33">
        <f t="shared" si="49"/>
        <v>0</v>
      </c>
      <c r="F153" s="33"/>
      <c r="G153" s="38"/>
      <c r="H153" s="38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</row>
    <row r="154" spans="1:20" s="6" customFormat="1" ht="33" hidden="1" x14ac:dyDescent="0.25">
      <c r="A154" s="63" t="s">
        <v>168</v>
      </c>
      <c r="B154" s="28" t="s">
        <v>169</v>
      </c>
      <c r="C154" s="51">
        <v>310</v>
      </c>
      <c r="D154" s="33">
        <f t="shared" si="49"/>
        <v>0</v>
      </c>
      <c r="E154" s="33">
        <f t="shared" si="49"/>
        <v>0</v>
      </c>
      <c r="F154" s="33"/>
      <c r="G154" s="38"/>
      <c r="H154" s="38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</row>
    <row r="155" spans="1:20" s="6" customFormat="1" ht="16.5" x14ac:dyDescent="0.25">
      <c r="A155" s="63" t="s">
        <v>170</v>
      </c>
      <c r="B155" s="28" t="s">
        <v>171</v>
      </c>
      <c r="C155" s="51">
        <v>226</v>
      </c>
      <c r="D155" s="33">
        <f t="shared" si="49"/>
        <v>712200</v>
      </c>
      <c r="E155" s="33">
        <f t="shared" si="49"/>
        <v>276000</v>
      </c>
      <c r="F155" s="33"/>
      <c r="G155" s="90">
        <f>643200+69000</f>
        <v>712200</v>
      </c>
      <c r="H155" s="38">
        <v>276000</v>
      </c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</row>
    <row r="156" spans="1:20" s="6" customFormat="1" ht="16.5" x14ac:dyDescent="0.25">
      <c r="A156" s="63" t="s">
        <v>170</v>
      </c>
      <c r="B156" s="28" t="s">
        <v>171</v>
      </c>
      <c r="C156" s="51">
        <v>310</v>
      </c>
      <c r="D156" s="33">
        <f t="shared" si="49"/>
        <v>6000</v>
      </c>
      <c r="E156" s="33">
        <f t="shared" si="49"/>
        <v>0</v>
      </c>
      <c r="F156" s="33"/>
      <c r="G156" s="38">
        <v>6000</v>
      </c>
      <c r="H156" s="38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</row>
    <row r="157" spans="1:20" s="6" customFormat="1" ht="16.5" x14ac:dyDescent="0.25">
      <c r="A157" s="63" t="s">
        <v>172</v>
      </c>
      <c r="B157" s="28" t="s">
        <v>173</v>
      </c>
      <c r="C157" s="51">
        <v>226</v>
      </c>
      <c r="D157" s="33">
        <f t="shared" si="49"/>
        <v>207000</v>
      </c>
      <c r="E157" s="33">
        <f t="shared" si="49"/>
        <v>0</v>
      </c>
      <c r="F157" s="33"/>
      <c r="G157" s="38">
        <v>207000</v>
      </c>
      <c r="H157" s="38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</row>
    <row r="158" spans="1:20" s="6" customFormat="1" ht="33" hidden="1" x14ac:dyDescent="0.25">
      <c r="A158" s="63" t="s">
        <v>172</v>
      </c>
      <c r="B158" s="28" t="s">
        <v>174</v>
      </c>
      <c r="C158" s="51">
        <v>310</v>
      </c>
      <c r="D158" s="33">
        <f t="shared" si="49"/>
        <v>0</v>
      </c>
      <c r="E158" s="33">
        <f t="shared" si="49"/>
        <v>0</v>
      </c>
      <c r="F158" s="33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</row>
    <row r="159" spans="1:20" s="6" customFormat="1" ht="16.5" hidden="1" x14ac:dyDescent="0.25">
      <c r="A159" s="63" t="s">
        <v>175</v>
      </c>
      <c r="B159" s="28" t="s">
        <v>176</v>
      </c>
      <c r="C159" s="51">
        <v>226</v>
      </c>
      <c r="D159" s="33">
        <f t="shared" si="49"/>
        <v>0</v>
      </c>
      <c r="E159" s="33">
        <f t="shared" si="49"/>
        <v>0</v>
      </c>
      <c r="F159" s="33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</row>
    <row r="160" spans="1:20" s="6" customFormat="1" ht="16.5" hidden="1" x14ac:dyDescent="0.25">
      <c r="A160" s="63" t="s">
        <v>177</v>
      </c>
      <c r="B160" s="28" t="s">
        <v>178</v>
      </c>
      <c r="C160" s="51">
        <v>310</v>
      </c>
      <c r="D160" s="33">
        <f t="shared" si="49"/>
        <v>0</v>
      </c>
      <c r="E160" s="33">
        <f t="shared" si="49"/>
        <v>0</v>
      </c>
      <c r="F160" s="33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</row>
    <row r="161" spans="1:20" s="6" customFormat="1" ht="33" hidden="1" x14ac:dyDescent="0.25">
      <c r="A161" s="63" t="s">
        <v>179</v>
      </c>
      <c r="B161" s="28" t="s">
        <v>180</v>
      </c>
      <c r="C161" s="51">
        <v>226</v>
      </c>
      <c r="D161" s="33">
        <f t="shared" si="49"/>
        <v>0</v>
      </c>
      <c r="E161" s="33">
        <f t="shared" si="49"/>
        <v>0</v>
      </c>
      <c r="F161" s="33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</row>
    <row r="162" spans="1:20" s="6" customFormat="1" ht="33" hidden="1" x14ac:dyDescent="0.25">
      <c r="A162" s="63" t="s">
        <v>181</v>
      </c>
      <c r="B162" s="28" t="s">
        <v>182</v>
      </c>
      <c r="C162" s="51">
        <v>226</v>
      </c>
      <c r="D162" s="33">
        <f t="shared" si="49"/>
        <v>0</v>
      </c>
      <c r="E162" s="33">
        <f t="shared" si="49"/>
        <v>0</v>
      </c>
      <c r="F162" s="33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</row>
    <row r="163" spans="1:20" s="6" customFormat="1" ht="16.5" hidden="1" x14ac:dyDescent="0.25">
      <c r="A163" s="63" t="s">
        <v>183</v>
      </c>
      <c r="B163" s="28" t="s">
        <v>184</v>
      </c>
      <c r="C163" s="51">
        <v>310</v>
      </c>
      <c r="D163" s="33">
        <f t="shared" si="49"/>
        <v>0</v>
      </c>
      <c r="E163" s="33">
        <f t="shared" si="49"/>
        <v>0</v>
      </c>
      <c r="F163" s="33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</row>
    <row r="164" spans="1:20" s="6" customFormat="1" ht="16.5" hidden="1" x14ac:dyDescent="0.25">
      <c r="A164" s="63" t="s">
        <v>185</v>
      </c>
      <c r="B164" s="28" t="s">
        <v>186</v>
      </c>
      <c r="C164" s="51">
        <v>310</v>
      </c>
      <c r="D164" s="33">
        <f t="shared" si="49"/>
        <v>0</v>
      </c>
      <c r="E164" s="33">
        <f t="shared" si="49"/>
        <v>0</v>
      </c>
      <c r="F164" s="33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</row>
    <row r="165" spans="1:20" s="20" customFormat="1" ht="34.5" hidden="1" x14ac:dyDescent="0.25">
      <c r="A165" s="59" t="s">
        <v>29</v>
      </c>
      <c r="B165" s="48" t="s">
        <v>44</v>
      </c>
      <c r="C165" s="54"/>
      <c r="D165" s="33">
        <f t="shared" si="49"/>
        <v>0</v>
      </c>
      <c r="E165" s="33">
        <f t="shared" si="49"/>
        <v>0</v>
      </c>
      <c r="F165" s="33"/>
      <c r="G165" s="25">
        <f t="shared" ref="G165:T165" si="55">SUM(G166)</f>
        <v>0</v>
      </c>
      <c r="H165" s="25"/>
      <c r="I165" s="25">
        <f t="shared" si="55"/>
        <v>0</v>
      </c>
      <c r="J165" s="25"/>
      <c r="K165" s="25">
        <f t="shared" si="55"/>
        <v>0</v>
      </c>
      <c r="L165" s="25"/>
      <c r="M165" s="25">
        <f t="shared" si="55"/>
        <v>0</v>
      </c>
      <c r="N165" s="25"/>
      <c r="O165" s="25">
        <f t="shared" si="55"/>
        <v>0</v>
      </c>
      <c r="P165" s="25"/>
      <c r="Q165" s="25"/>
      <c r="R165" s="25"/>
      <c r="S165" s="25">
        <f t="shared" si="55"/>
        <v>0</v>
      </c>
      <c r="T165" s="25">
        <f t="shared" si="55"/>
        <v>0</v>
      </c>
    </row>
    <row r="166" spans="1:20" s="22" customFormat="1" ht="33" hidden="1" x14ac:dyDescent="0.25">
      <c r="A166" s="52" t="s">
        <v>187</v>
      </c>
      <c r="B166" s="28" t="s">
        <v>188</v>
      </c>
      <c r="C166" s="55">
        <v>225</v>
      </c>
      <c r="D166" s="33">
        <f t="shared" si="49"/>
        <v>0</v>
      </c>
      <c r="E166" s="33">
        <f t="shared" si="49"/>
        <v>0</v>
      </c>
      <c r="F166" s="33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</row>
    <row r="167" spans="1:20" s="22" customFormat="1" ht="16.5" hidden="1" x14ac:dyDescent="0.25">
      <c r="A167" s="52"/>
      <c r="B167" s="28"/>
      <c r="C167" s="55"/>
      <c r="D167" s="33">
        <f t="shared" ref="D167:E230" si="56">SUM(G167+I167+K167+M167+O167+Q167+S167)</f>
        <v>0</v>
      </c>
      <c r="E167" s="33">
        <f t="shared" si="56"/>
        <v>0</v>
      </c>
      <c r="F167" s="33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</row>
    <row r="168" spans="1:20" s="30" customFormat="1" ht="51.75" x14ac:dyDescent="0.25">
      <c r="A168" s="53" t="s">
        <v>31</v>
      </c>
      <c r="B168" s="48" t="s">
        <v>189</v>
      </c>
      <c r="C168" s="70"/>
      <c r="D168" s="33">
        <f t="shared" si="56"/>
        <v>1507979</v>
      </c>
      <c r="E168" s="33">
        <f t="shared" si="56"/>
        <v>255137.11</v>
      </c>
      <c r="F168" s="33"/>
      <c r="G168" s="25">
        <f t="shared" ref="G168:S168" si="57">SUM(G169:G173)</f>
        <v>1507979</v>
      </c>
      <c r="H168" s="25">
        <f t="shared" si="57"/>
        <v>255137.11</v>
      </c>
      <c r="I168" s="25">
        <f t="shared" si="57"/>
        <v>0</v>
      </c>
      <c r="J168" s="25"/>
      <c r="K168" s="23">
        <f t="shared" si="57"/>
        <v>0</v>
      </c>
      <c r="L168" s="23"/>
      <c r="M168" s="23">
        <f t="shared" si="57"/>
        <v>0</v>
      </c>
      <c r="N168" s="23"/>
      <c r="O168" s="23">
        <f t="shared" si="57"/>
        <v>0</v>
      </c>
      <c r="P168" s="23"/>
      <c r="Q168" s="23"/>
      <c r="R168" s="23"/>
      <c r="S168" s="23">
        <f t="shared" si="57"/>
        <v>0</v>
      </c>
      <c r="T168" s="23">
        <f t="shared" ref="T168" si="58">SUM(T169:T173)</f>
        <v>0</v>
      </c>
    </row>
    <row r="169" spans="1:20" s="22" customFormat="1" ht="33" hidden="1" x14ac:dyDescent="0.25">
      <c r="A169" s="52" t="s">
        <v>190</v>
      </c>
      <c r="B169" s="28" t="s">
        <v>191</v>
      </c>
      <c r="C169" s="55"/>
      <c r="D169" s="33">
        <f t="shared" si="56"/>
        <v>0</v>
      </c>
      <c r="E169" s="33">
        <f t="shared" si="56"/>
        <v>0</v>
      </c>
      <c r="F169" s="33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</row>
    <row r="170" spans="1:20" s="22" customFormat="1" ht="49.5" x14ac:dyDescent="0.25">
      <c r="A170" s="52" t="s">
        <v>192</v>
      </c>
      <c r="B170" s="28" t="s">
        <v>291</v>
      </c>
      <c r="C170" s="55">
        <v>226</v>
      </c>
      <c r="D170" s="33">
        <f t="shared" si="56"/>
        <v>613577</v>
      </c>
      <c r="E170" s="33">
        <f t="shared" si="56"/>
        <v>158593.10999999999</v>
      </c>
      <c r="F170" s="33"/>
      <c r="G170" s="38">
        <f>743577-130000</f>
        <v>613577</v>
      </c>
      <c r="H170" s="38">
        <v>158593.10999999999</v>
      </c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</row>
    <row r="171" spans="1:20" s="22" customFormat="1" ht="49.5" x14ac:dyDescent="0.25">
      <c r="A171" s="52" t="s">
        <v>192</v>
      </c>
      <c r="B171" s="28" t="s">
        <v>291</v>
      </c>
      <c r="C171" s="55">
        <v>310</v>
      </c>
      <c r="D171" s="33">
        <f t="shared" si="56"/>
        <v>739630</v>
      </c>
      <c r="E171" s="33">
        <f t="shared" si="56"/>
        <v>96544</v>
      </c>
      <c r="F171" s="33"/>
      <c r="G171" s="38">
        <f>836630-97000</f>
        <v>739630</v>
      </c>
      <c r="H171" s="38">
        <v>96544</v>
      </c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</row>
    <row r="172" spans="1:20" s="22" customFormat="1" ht="49.5" x14ac:dyDescent="0.25">
      <c r="A172" s="52" t="s">
        <v>192</v>
      </c>
      <c r="B172" s="28" t="s">
        <v>291</v>
      </c>
      <c r="C172" s="55">
        <v>340</v>
      </c>
      <c r="D172" s="33">
        <f t="shared" si="56"/>
        <v>154772</v>
      </c>
      <c r="E172" s="33">
        <f t="shared" si="56"/>
        <v>0</v>
      </c>
      <c r="F172" s="33"/>
      <c r="G172" s="38">
        <f>177772-23000</f>
        <v>154772</v>
      </c>
      <c r="H172" s="38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</row>
    <row r="173" spans="1:20" s="22" customFormat="1" ht="33" hidden="1" x14ac:dyDescent="0.25">
      <c r="A173" s="52" t="s">
        <v>194</v>
      </c>
      <c r="B173" s="28" t="s">
        <v>195</v>
      </c>
      <c r="C173" s="55"/>
      <c r="D173" s="33">
        <f t="shared" si="56"/>
        <v>0</v>
      </c>
      <c r="E173" s="33">
        <f t="shared" si="56"/>
        <v>0</v>
      </c>
      <c r="F173" s="33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</row>
    <row r="174" spans="1:20" s="36" customFormat="1" ht="34.5" x14ac:dyDescent="0.25">
      <c r="A174" s="53" t="s">
        <v>33</v>
      </c>
      <c r="B174" s="48" t="s">
        <v>34</v>
      </c>
      <c r="C174" s="71"/>
      <c r="D174" s="33">
        <f t="shared" si="56"/>
        <v>3287100</v>
      </c>
      <c r="E174" s="33">
        <f t="shared" si="56"/>
        <v>1010463.95</v>
      </c>
      <c r="F174" s="33"/>
      <c r="G174" s="25">
        <f t="shared" ref="G174:S174" si="59">SUM(G175:G179)</f>
        <v>3287100</v>
      </c>
      <c r="H174" s="25">
        <f t="shared" si="59"/>
        <v>1010463.95</v>
      </c>
      <c r="I174" s="25">
        <f t="shared" si="59"/>
        <v>0</v>
      </c>
      <c r="J174" s="25"/>
      <c r="K174" s="25">
        <f t="shared" si="59"/>
        <v>0</v>
      </c>
      <c r="L174" s="25"/>
      <c r="M174" s="25">
        <f t="shared" si="59"/>
        <v>0</v>
      </c>
      <c r="N174" s="25"/>
      <c r="O174" s="25">
        <f t="shared" si="59"/>
        <v>0</v>
      </c>
      <c r="P174" s="25"/>
      <c r="Q174" s="25"/>
      <c r="R174" s="25"/>
      <c r="S174" s="25">
        <f t="shared" si="59"/>
        <v>0</v>
      </c>
      <c r="T174" s="25">
        <f t="shared" ref="T174" si="60">SUM(T175:T179)</f>
        <v>0</v>
      </c>
    </row>
    <row r="175" spans="1:20" s="22" customFormat="1" ht="16.5" x14ac:dyDescent="0.25">
      <c r="A175" s="52" t="s">
        <v>196</v>
      </c>
      <c r="B175" s="28" t="s">
        <v>197</v>
      </c>
      <c r="C175" s="55"/>
      <c r="D175" s="33">
        <f t="shared" si="56"/>
        <v>0</v>
      </c>
      <c r="E175" s="33">
        <f t="shared" si="56"/>
        <v>0</v>
      </c>
      <c r="F175" s="33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</row>
    <row r="176" spans="1:20" s="22" customFormat="1" ht="16.5" x14ac:dyDescent="0.25">
      <c r="A176" s="52"/>
      <c r="B176" s="28" t="s">
        <v>47</v>
      </c>
      <c r="C176" s="55">
        <v>211</v>
      </c>
      <c r="D176" s="33">
        <f t="shared" si="56"/>
        <v>2460000</v>
      </c>
      <c r="E176" s="33">
        <f t="shared" si="56"/>
        <v>732248.95</v>
      </c>
      <c r="F176" s="33"/>
      <c r="G176" s="38">
        <v>2460000</v>
      </c>
      <c r="H176" s="80">
        <v>732248.95</v>
      </c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</row>
    <row r="177" spans="1:20" s="22" customFormat="1" ht="16.5" x14ac:dyDescent="0.25">
      <c r="A177" s="52"/>
      <c r="B177" s="28" t="s">
        <v>198</v>
      </c>
      <c r="C177" s="55">
        <v>213</v>
      </c>
      <c r="D177" s="33">
        <f t="shared" si="56"/>
        <v>737100</v>
      </c>
      <c r="E177" s="33">
        <f t="shared" si="56"/>
        <v>278215</v>
      </c>
      <c r="F177" s="33"/>
      <c r="G177" s="38">
        <v>737100</v>
      </c>
      <c r="H177" s="80">
        <v>278215</v>
      </c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</row>
    <row r="178" spans="1:20" s="22" customFormat="1" ht="16.5" x14ac:dyDescent="0.25">
      <c r="A178" s="52" t="s">
        <v>199</v>
      </c>
      <c r="B178" s="28" t="s">
        <v>200</v>
      </c>
      <c r="C178" s="55">
        <v>310</v>
      </c>
      <c r="D178" s="33">
        <f t="shared" si="56"/>
        <v>90000</v>
      </c>
      <c r="E178" s="33">
        <f t="shared" si="56"/>
        <v>0</v>
      </c>
      <c r="F178" s="33"/>
      <c r="G178" s="38">
        <v>90000</v>
      </c>
      <c r="H178" s="38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</row>
    <row r="179" spans="1:20" s="22" customFormat="1" ht="16.5" x14ac:dyDescent="0.25">
      <c r="A179" s="52" t="s">
        <v>201</v>
      </c>
      <c r="B179" s="28" t="s">
        <v>202</v>
      </c>
      <c r="C179" s="55">
        <v>340</v>
      </c>
      <c r="D179" s="33">
        <f t="shared" si="56"/>
        <v>0</v>
      </c>
      <c r="E179" s="33">
        <f t="shared" si="56"/>
        <v>0</v>
      </c>
      <c r="F179" s="33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</row>
    <row r="180" spans="1:20" s="37" customFormat="1" ht="51.75" x14ac:dyDescent="0.25">
      <c r="A180" s="47" t="s">
        <v>35</v>
      </c>
      <c r="B180" s="62" t="s">
        <v>36</v>
      </c>
      <c r="C180" s="72"/>
      <c r="D180" s="33">
        <f t="shared" si="56"/>
        <v>0</v>
      </c>
      <c r="E180" s="33">
        <f t="shared" si="56"/>
        <v>0</v>
      </c>
      <c r="F180" s="33"/>
      <c r="G180" s="34">
        <f t="shared" ref="G180:S180" si="61">SUM(G181:G185)</f>
        <v>0</v>
      </c>
      <c r="H180" s="34"/>
      <c r="I180" s="34">
        <f t="shared" si="61"/>
        <v>0</v>
      </c>
      <c r="J180" s="34"/>
      <c r="K180" s="34">
        <f t="shared" si="61"/>
        <v>0</v>
      </c>
      <c r="L180" s="34"/>
      <c r="M180" s="34">
        <f t="shared" si="61"/>
        <v>0</v>
      </c>
      <c r="N180" s="34"/>
      <c r="O180" s="34">
        <f t="shared" si="61"/>
        <v>0</v>
      </c>
      <c r="P180" s="34"/>
      <c r="Q180" s="34"/>
      <c r="R180" s="34"/>
      <c r="S180" s="34">
        <f t="shared" si="61"/>
        <v>0</v>
      </c>
      <c r="T180" s="34">
        <f t="shared" ref="T180" si="62">SUM(T181:T185)</f>
        <v>0</v>
      </c>
    </row>
    <row r="181" spans="1:20" s="6" customFormat="1" ht="33" x14ac:dyDescent="0.25">
      <c r="A181" s="73" t="s">
        <v>203</v>
      </c>
      <c r="B181" s="64" t="s">
        <v>204</v>
      </c>
      <c r="C181" s="69">
        <v>222</v>
      </c>
      <c r="D181" s="33">
        <f t="shared" si="56"/>
        <v>0</v>
      </c>
      <c r="E181" s="33">
        <f t="shared" si="56"/>
        <v>0</v>
      </c>
      <c r="F181" s="33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</row>
    <row r="182" spans="1:20" s="6" customFormat="1" ht="33" x14ac:dyDescent="0.25">
      <c r="A182" s="73" t="s">
        <v>203</v>
      </c>
      <c r="B182" s="64" t="s">
        <v>204</v>
      </c>
      <c r="C182" s="69">
        <v>226</v>
      </c>
      <c r="D182" s="33">
        <f t="shared" si="56"/>
        <v>0</v>
      </c>
      <c r="E182" s="33">
        <f t="shared" si="56"/>
        <v>0</v>
      </c>
      <c r="F182" s="33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</row>
    <row r="183" spans="1:20" s="6" customFormat="1" ht="33" x14ac:dyDescent="0.25">
      <c r="A183" s="73" t="s">
        <v>203</v>
      </c>
      <c r="B183" s="64" t="s">
        <v>204</v>
      </c>
      <c r="C183" s="69">
        <v>290</v>
      </c>
      <c r="D183" s="33">
        <f t="shared" si="56"/>
        <v>0</v>
      </c>
      <c r="E183" s="33">
        <f t="shared" si="56"/>
        <v>0</v>
      </c>
      <c r="F183" s="33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</row>
    <row r="184" spans="1:20" s="6" customFormat="1" ht="33" x14ac:dyDescent="0.25">
      <c r="A184" s="73" t="s">
        <v>203</v>
      </c>
      <c r="B184" s="64" t="s">
        <v>204</v>
      </c>
      <c r="C184" s="69">
        <v>310</v>
      </c>
      <c r="D184" s="33">
        <f t="shared" si="56"/>
        <v>0</v>
      </c>
      <c r="E184" s="33">
        <f t="shared" si="56"/>
        <v>0</v>
      </c>
      <c r="F184" s="33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</row>
    <row r="185" spans="1:20" s="6" customFormat="1" ht="33" x14ac:dyDescent="0.25">
      <c r="A185" s="73" t="s">
        <v>203</v>
      </c>
      <c r="B185" s="64" t="s">
        <v>204</v>
      </c>
      <c r="C185" s="69">
        <v>340</v>
      </c>
      <c r="D185" s="33">
        <f t="shared" si="56"/>
        <v>0</v>
      </c>
      <c r="E185" s="33">
        <f t="shared" si="56"/>
        <v>0</v>
      </c>
      <c r="F185" s="33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</row>
    <row r="186" spans="1:20" s="32" customFormat="1" ht="17.25" x14ac:dyDescent="0.25">
      <c r="A186" s="74" t="s">
        <v>205</v>
      </c>
      <c r="B186" s="62" t="s">
        <v>37</v>
      </c>
      <c r="C186" s="49"/>
      <c r="D186" s="33">
        <f t="shared" si="56"/>
        <v>0</v>
      </c>
      <c r="E186" s="33">
        <f t="shared" si="56"/>
        <v>0</v>
      </c>
      <c r="F186" s="33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</row>
    <row r="187" spans="1:20" s="18" customFormat="1" ht="17.25" x14ac:dyDescent="0.25">
      <c r="A187" s="61" t="s">
        <v>206</v>
      </c>
      <c r="B187" s="62" t="s">
        <v>38</v>
      </c>
      <c r="C187" s="49"/>
      <c r="D187" s="33">
        <f t="shared" si="56"/>
        <v>105385964.88</v>
      </c>
      <c r="E187" s="33">
        <f t="shared" si="56"/>
        <v>43004055.640000001</v>
      </c>
      <c r="F187" s="33"/>
      <c r="G187" s="34">
        <f t="shared" ref="G187:O187" si="63">SUM(G188+G189+G190+G191+G192+G193+G197+G198+G199+G200+G201+G202+G203+G205)</f>
        <v>0</v>
      </c>
      <c r="H187" s="34"/>
      <c r="I187" s="34">
        <f t="shared" si="63"/>
        <v>0</v>
      </c>
      <c r="J187" s="34"/>
      <c r="K187" s="34">
        <f t="shared" si="63"/>
        <v>0</v>
      </c>
      <c r="L187" s="34"/>
      <c r="M187" s="34">
        <f t="shared" si="63"/>
        <v>0</v>
      </c>
      <c r="N187" s="34"/>
      <c r="O187" s="34">
        <f t="shared" si="63"/>
        <v>0</v>
      </c>
      <c r="P187" s="34"/>
      <c r="Q187" s="34"/>
      <c r="R187" s="34"/>
      <c r="S187" s="34">
        <f>SUM(S188+S189+S190+S191+S192+S193+S197+S198+S199+S200+S201+S202+S203+S205)+S204</f>
        <v>105385964.88</v>
      </c>
      <c r="T187" s="34">
        <f>SUM(T188+T189+T190+T191+T192+T193+T197+T198+T199+T200+T201+T202+T203+T205)+T204</f>
        <v>43004055.640000001</v>
      </c>
    </row>
    <row r="188" spans="1:20" s="6" customFormat="1" ht="16.5" x14ac:dyDescent="0.25">
      <c r="A188" s="63" t="s">
        <v>207</v>
      </c>
      <c r="B188" s="28" t="s">
        <v>47</v>
      </c>
      <c r="C188" s="51">
        <v>211</v>
      </c>
      <c r="D188" s="33">
        <f t="shared" si="56"/>
        <v>24051200</v>
      </c>
      <c r="E188" s="33">
        <f t="shared" si="56"/>
        <v>9753319.6999999993</v>
      </c>
      <c r="F188" s="33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33">
        <v>24051200</v>
      </c>
      <c r="T188" s="81">
        <v>9753319.6999999993</v>
      </c>
    </row>
    <row r="189" spans="1:20" s="6" customFormat="1" ht="16.5" x14ac:dyDescent="0.25">
      <c r="A189" s="63" t="s">
        <v>208</v>
      </c>
      <c r="B189" s="28" t="s">
        <v>49</v>
      </c>
      <c r="C189" s="51">
        <v>212</v>
      </c>
      <c r="D189" s="33">
        <f t="shared" si="56"/>
        <v>0</v>
      </c>
      <c r="E189" s="33">
        <f t="shared" si="56"/>
        <v>0</v>
      </c>
      <c r="F189" s="33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33"/>
      <c r="T189" s="81"/>
    </row>
    <row r="190" spans="1:20" s="6" customFormat="1" ht="16.5" x14ac:dyDescent="0.25">
      <c r="A190" s="63" t="s">
        <v>209</v>
      </c>
      <c r="B190" s="28" t="s">
        <v>51</v>
      </c>
      <c r="C190" s="51">
        <v>213</v>
      </c>
      <c r="D190" s="33">
        <f t="shared" si="56"/>
        <v>7442800</v>
      </c>
      <c r="E190" s="33">
        <f t="shared" si="56"/>
        <v>2602135.81</v>
      </c>
      <c r="F190" s="33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33">
        <v>7442800</v>
      </c>
      <c r="T190" s="81">
        <v>2602135.81</v>
      </c>
    </row>
    <row r="191" spans="1:20" s="6" customFormat="1" ht="16.5" x14ac:dyDescent="0.25">
      <c r="A191" s="63" t="s">
        <v>210</v>
      </c>
      <c r="B191" s="28" t="s">
        <v>53</v>
      </c>
      <c r="C191" s="51">
        <v>221</v>
      </c>
      <c r="D191" s="33">
        <f t="shared" si="56"/>
        <v>202000</v>
      </c>
      <c r="E191" s="33">
        <f t="shared" si="56"/>
        <v>58089.91</v>
      </c>
      <c r="F191" s="33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33">
        <v>202000</v>
      </c>
      <c r="T191" s="81">
        <v>58089.91</v>
      </c>
    </row>
    <row r="192" spans="1:20" s="6" customFormat="1" ht="16.5" x14ac:dyDescent="0.25">
      <c r="A192" s="63" t="s">
        <v>211</v>
      </c>
      <c r="B192" s="28" t="s">
        <v>55</v>
      </c>
      <c r="C192" s="51">
        <v>222</v>
      </c>
      <c r="D192" s="33">
        <f t="shared" si="56"/>
        <v>0</v>
      </c>
      <c r="E192" s="33">
        <f t="shared" si="56"/>
        <v>15200</v>
      </c>
      <c r="F192" s="33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33"/>
      <c r="T192" s="81">
        <v>15200</v>
      </c>
    </row>
    <row r="193" spans="1:20" s="6" customFormat="1" ht="16.5" x14ac:dyDescent="0.25">
      <c r="A193" s="63" t="s">
        <v>212</v>
      </c>
      <c r="B193" s="28" t="s">
        <v>57</v>
      </c>
      <c r="C193" s="51">
        <v>223</v>
      </c>
      <c r="D193" s="33">
        <f t="shared" si="56"/>
        <v>460600</v>
      </c>
      <c r="E193" s="33">
        <f t="shared" si="56"/>
        <v>213908.37</v>
      </c>
      <c r="F193" s="33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33">
        <f>SUM(S194:S196)</f>
        <v>460600</v>
      </c>
      <c r="T193" s="81">
        <f>SUM(T194:T196)</f>
        <v>213908.37</v>
      </c>
    </row>
    <row r="194" spans="1:20" s="6" customFormat="1" ht="16.5" x14ac:dyDescent="0.25">
      <c r="A194" s="63"/>
      <c r="B194" s="58" t="s">
        <v>213</v>
      </c>
      <c r="C194" s="51">
        <v>223</v>
      </c>
      <c r="D194" s="33">
        <f t="shared" si="56"/>
        <v>0</v>
      </c>
      <c r="E194" s="33">
        <f t="shared" si="56"/>
        <v>104561.33</v>
      </c>
      <c r="F194" s="33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33"/>
      <c r="T194" s="81">
        <v>104561.33</v>
      </c>
    </row>
    <row r="195" spans="1:20" s="6" customFormat="1" ht="16.5" x14ac:dyDescent="0.25">
      <c r="A195" s="63"/>
      <c r="B195" s="58" t="s">
        <v>214</v>
      </c>
      <c r="C195" s="51">
        <v>223</v>
      </c>
      <c r="D195" s="33">
        <f t="shared" si="56"/>
        <v>197300</v>
      </c>
      <c r="E195" s="33">
        <f t="shared" si="56"/>
        <v>91476.83</v>
      </c>
      <c r="F195" s="33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33">
        <v>197300</v>
      </c>
      <c r="T195" s="81">
        <v>91476.83</v>
      </c>
    </row>
    <row r="196" spans="1:20" s="6" customFormat="1" ht="16.5" x14ac:dyDescent="0.25">
      <c r="A196" s="63"/>
      <c r="B196" s="58" t="s">
        <v>215</v>
      </c>
      <c r="C196" s="51">
        <v>223</v>
      </c>
      <c r="D196" s="33">
        <f t="shared" si="56"/>
        <v>263300</v>
      </c>
      <c r="E196" s="33">
        <f t="shared" si="56"/>
        <v>17870.21</v>
      </c>
      <c r="F196" s="33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33">
        <v>263300</v>
      </c>
      <c r="T196" s="81">
        <v>17870.21</v>
      </c>
    </row>
    <row r="197" spans="1:20" s="6" customFormat="1" ht="16.5" x14ac:dyDescent="0.25">
      <c r="A197" s="63" t="s">
        <v>216</v>
      </c>
      <c r="B197" s="58" t="s">
        <v>217</v>
      </c>
      <c r="C197" s="51">
        <v>224</v>
      </c>
      <c r="D197" s="33">
        <f t="shared" si="56"/>
        <v>0</v>
      </c>
      <c r="E197" s="33">
        <f t="shared" si="56"/>
        <v>0</v>
      </c>
      <c r="F197" s="33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33"/>
      <c r="T197" s="81"/>
    </row>
    <row r="198" spans="1:20" s="6" customFormat="1" ht="16.5" x14ac:dyDescent="0.25">
      <c r="A198" s="63" t="s">
        <v>218</v>
      </c>
      <c r="B198" s="58" t="s">
        <v>219</v>
      </c>
      <c r="C198" s="51">
        <v>225</v>
      </c>
      <c r="D198" s="33">
        <f t="shared" si="56"/>
        <v>0</v>
      </c>
      <c r="E198" s="33">
        <f t="shared" si="56"/>
        <v>0</v>
      </c>
      <c r="F198" s="33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33"/>
      <c r="T198" s="81"/>
    </row>
    <row r="199" spans="1:20" s="6" customFormat="1" ht="16.5" x14ac:dyDescent="0.25">
      <c r="A199" s="63" t="s">
        <v>220</v>
      </c>
      <c r="B199" s="58" t="s">
        <v>221</v>
      </c>
      <c r="C199" s="51">
        <v>225</v>
      </c>
      <c r="D199" s="33">
        <f t="shared" si="56"/>
        <v>2530300</v>
      </c>
      <c r="E199" s="33">
        <f t="shared" si="56"/>
        <v>507624.49</v>
      </c>
      <c r="F199" s="33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33">
        <v>2530300</v>
      </c>
      <c r="T199" s="95">
        <v>507624.49</v>
      </c>
    </row>
    <row r="200" spans="1:20" s="6" customFormat="1" ht="16.5" x14ac:dyDescent="0.25">
      <c r="A200" s="63" t="s">
        <v>222</v>
      </c>
      <c r="B200" s="58" t="s">
        <v>223</v>
      </c>
      <c r="C200" s="51">
        <v>226</v>
      </c>
      <c r="D200" s="33">
        <f t="shared" si="56"/>
        <v>30730847.82</v>
      </c>
      <c r="E200" s="33">
        <f t="shared" si="56"/>
        <v>11960239.4</v>
      </c>
      <c r="F200" s="33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33">
        <v>30730847.82</v>
      </c>
      <c r="T200" s="81">
        <f>12342128.46-T201</f>
        <v>11960239.4</v>
      </c>
    </row>
    <row r="201" spans="1:20" s="6" customFormat="1" ht="16.5" x14ac:dyDescent="0.25">
      <c r="A201" s="63" t="s">
        <v>224</v>
      </c>
      <c r="B201" s="58" t="s">
        <v>225</v>
      </c>
      <c r="C201" s="51">
        <v>226</v>
      </c>
      <c r="D201" s="33">
        <f t="shared" si="56"/>
        <v>7473302.5300000003</v>
      </c>
      <c r="E201" s="33">
        <f t="shared" si="56"/>
        <v>381889.06</v>
      </c>
      <c r="F201" s="33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33">
        <v>7473302.5300000003</v>
      </c>
      <c r="T201" s="81">
        <v>381889.06</v>
      </c>
    </row>
    <row r="202" spans="1:20" s="6" customFormat="1" ht="16.5" x14ac:dyDescent="0.25">
      <c r="A202" s="63" t="s">
        <v>226</v>
      </c>
      <c r="B202" s="28" t="s">
        <v>68</v>
      </c>
      <c r="C202" s="51">
        <v>290</v>
      </c>
      <c r="D202" s="33">
        <f t="shared" si="56"/>
        <v>428303.7</v>
      </c>
      <c r="E202" s="33">
        <f t="shared" si="56"/>
        <v>188485.22</v>
      </c>
      <c r="F202" s="33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33">
        <v>428303.7</v>
      </c>
      <c r="T202" s="81">
        <f>38211.66+59782+90491.56</f>
        <v>188485.22</v>
      </c>
    </row>
    <row r="203" spans="1:20" s="6" customFormat="1" ht="16.5" x14ac:dyDescent="0.25">
      <c r="A203" s="63" t="s">
        <v>227</v>
      </c>
      <c r="B203" s="58" t="s">
        <v>72</v>
      </c>
      <c r="C203" s="51">
        <v>310</v>
      </c>
      <c r="D203" s="33">
        <f t="shared" si="56"/>
        <v>3528300</v>
      </c>
      <c r="E203" s="33">
        <f t="shared" si="56"/>
        <v>1162231.05</v>
      </c>
      <c r="F203" s="33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33">
        <v>3528300</v>
      </c>
      <c r="T203" s="81">
        <v>1162231.05</v>
      </c>
    </row>
    <row r="204" spans="1:20" s="6" customFormat="1" ht="16.5" x14ac:dyDescent="0.25">
      <c r="A204" s="63" t="s">
        <v>228</v>
      </c>
      <c r="B204" s="58" t="s">
        <v>243</v>
      </c>
      <c r="C204" s="51">
        <v>340</v>
      </c>
      <c r="D204" s="33">
        <f t="shared" si="56"/>
        <v>21637810.829999998</v>
      </c>
      <c r="E204" s="33">
        <f t="shared" si="56"/>
        <v>15883876.120000001</v>
      </c>
      <c r="F204" s="33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33">
        <v>21637810.829999998</v>
      </c>
      <c r="T204" s="81">
        <f>16160932.63-T205</f>
        <v>15883876.120000001</v>
      </c>
    </row>
    <row r="205" spans="1:20" s="6" customFormat="1" ht="16.5" x14ac:dyDescent="0.25">
      <c r="A205" s="63" t="s">
        <v>286</v>
      </c>
      <c r="B205" s="58" t="s">
        <v>225</v>
      </c>
      <c r="C205" s="51">
        <v>340</v>
      </c>
      <c r="D205" s="33">
        <f t="shared" si="56"/>
        <v>6900500</v>
      </c>
      <c r="E205" s="33">
        <f t="shared" si="56"/>
        <v>277056.51</v>
      </c>
      <c r="F205" s="33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33">
        <v>6900500</v>
      </c>
      <c r="T205" s="81">
        <v>277056.51</v>
      </c>
    </row>
    <row r="206" spans="1:20" s="18" customFormat="1" ht="17.25" x14ac:dyDescent="0.25">
      <c r="A206" s="61" t="s">
        <v>229</v>
      </c>
      <c r="B206" s="62" t="s">
        <v>39</v>
      </c>
      <c r="C206" s="49"/>
      <c r="D206" s="33">
        <f t="shared" si="56"/>
        <v>838011.03</v>
      </c>
      <c r="E206" s="33">
        <f t="shared" si="56"/>
        <v>367998.07</v>
      </c>
      <c r="F206" s="33"/>
      <c r="G206" s="34">
        <f t="shared" ref="G206:T206" si="64">SUM(G207+G208+G209+G210+G211+G212+G216+G217+G218+G219+G220+G221+G222)</f>
        <v>0</v>
      </c>
      <c r="H206" s="34"/>
      <c r="I206" s="34">
        <f t="shared" si="64"/>
        <v>0</v>
      </c>
      <c r="J206" s="34"/>
      <c r="K206" s="34">
        <f t="shared" si="64"/>
        <v>0</v>
      </c>
      <c r="L206" s="34"/>
      <c r="M206" s="34">
        <f t="shared" si="64"/>
        <v>0</v>
      </c>
      <c r="N206" s="34"/>
      <c r="O206" s="34">
        <f t="shared" si="64"/>
        <v>0</v>
      </c>
      <c r="P206" s="34"/>
      <c r="Q206" s="34"/>
      <c r="R206" s="34"/>
      <c r="S206" s="34">
        <f t="shared" si="64"/>
        <v>838011.03</v>
      </c>
      <c r="T206" s="34">
        <f t="shared" si="64"/>
        <v>367998.07</v>
      </c>
    </row>
    <row r="207" spans="1:20" s="6" customFormat="1" ht="16.5" x14ac:dyDescent="0.25">
      <c r="A207" s="63" t="s">
        <v>230</v>
      </c>
      <c r="B207" s="28" t="s">
        <v>47</v>
      </c>
      <c r="C207" s="51">
        <v>211</v>
      </c>
      <c r="D207" s="33">
        <f t="shared" si="56"/>
        <v>0</v>
      </c>
      <c r="E207" s="33">
        <f t="shared" si="56"/>
        <v>0</v>
      </c>
      <c r="F207" s="33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33"/>
      <c r="T207" s="81"/>
    </row>
    <row r="208" spans="1:20" s="6" customFormat="1" ht="16.5" x14ac:dyDescent="0.25">
      <c r="A208" s="63" t="s">
        <v>231</v>
      </c>
      <c r="B208" s="28" t="s">
        <v>49</v>
      </c>
      <c r="C208" s="51">
        <v>212</v>
      </c>
      <c r="D208" s="33">
        <f t="shared" si="56"/>
        <v>0</v>
      </c>
      <c r="E208" s="33">
        <f t="shared" si="56"/>
        <v>0</v>
      </c>
      <c r="F208" s="33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33"/>
      <c r="T208" s="81"/>
    </row>
    <row r="209" spans="1:20" s="6" customFormat="1" ht="16.5" x14ac:dyDescent="0.25">
      <c r="A209" s="63" t="s">
        <v>232</v>
      </c>
      <c r="B209" s="28" t="s">
        <v>51</v>
      </c>
      <c r="C209" s="51">
        <v>213</v>
      </c>
      <c r="D209" s="33">
        <f t="shared" si="56"/>
        <v>0</v>
      </c>
      <c r="E209" s="33">
        <f t="shared" si="56"/>
        <v>0</v>
      </c>
      <c r="F209" s="33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33"/>
      <c r="T209" s="81"/>
    </row>
    <row r="210" spans="1:20" s="6" customFormat="1" ht="16.5" x14ac:dyDescent="0.25">
      <c r="A210" s="63" t="s">
        <v>233</v>
      </c>
      <c r="B210" s="28" t="s">
        <v>53</v>
      </c>
      <c r="C210" s="51">
        <v>221</v>
      </c>
      <c r="D210" s="33">
        <f t="shared" si="56"/>
        <v>1034.51</v>
      </c>
      <c r="E210" s="33">
        <f t="shared" si="56"/>
        <v>4000</v>
      </c>
      <c r="F210" s="33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33">
        <v>1034.51</v>
      </c>
      <c r="T210" s="81">
        <v>4000</v>
      </c>
    </row>
    <row r="211" spans="1:20" s="6" customFormat="1" ht="16.5" x14ac:dyDescent="0.25">
      <c r="A211" s="63" t="s">
        <v>234</v>
      </c>
      <c r="B211" s="28" t="s">
        <v>55</v>
      </c>
      <c r="C211" s="51">
        <v>222</v>
      </c>
      <c r="D211" s="33">
        <f t="shared" si="56"/>
        <v>0</v>
      </c>
      <c r="E211" s="33">
        <f t="shared" si="56"/>
        <v>0</v>
      </c>
      <c r="F211" s="33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33"/>
      <c r="T211" s="81"/>
    </row>
    <row r="212" spans="1:20" s="6" customFormat="1" ht="16.5" x14ac:dyDescent="0.25">
      <c r="A212" s="63" t="s">
        <v>235</v>
      </c>
      <c r="B212" s="28" t="s">
        <v>57</v>
      </c>
      <c r="C212" s="51">
        <v>223</v>
      </c>
      <c r="D212" s="33">
        <f t="shared" si="56"/>
        <v>0</v>
      </c>
      <c r="E212" s="33">
        <f t="shared" si="56"/>
        <v>0</v>
      </c>
      <c r="F212" s="33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33"/>
      <c r="T212" s="81"/>
    </row>
    <row r="213" spans="1:20" s="6" customFormat="1" ht="16.5" x14ac:dyDescent="0.25">
      <c r="A213" s="63"/>
      <c r="B213" s="58" t="s">
        <v>213</v>
      </c>
      <c r="C213" s="51">
        <v>223</v>
      </c>
      <c r="D213" s="33">
        <f t="shared" si="56"/>
        <v>0</v>
      </c>
      <c r="E213" s="33">
        <f t="shared" si="56"/>
        <v>0</v>
      </c>
      <c r="F213" s="33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33"/>
      <c r="T213" s="81"/>
    </row>
    <row r="214" spans="1:20" s="6" customFormat="1" ht="16.5" x14ac:dyDescent="0.25">
      <c r="A214" s="63"/>
      <c r="B214" s="58" t="s">
        <v>214</v>
      </c>
      <c r="C214" s="51">
        <v>223</v>
      </c>
      <c r="D214" s="33">
        <f t="shared" si="56"/>
        <v>0</v>
      </c>
      <c r="E214" s="33">
        <f t="shared" si="56"/>
        <v>0</v>
      </c>
      <c r="F214" s="33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33"/>
      <c r="T214" s="81"/>
    </row>
    <row r="215" spans="1:20" s="6" customFormat="1" ht="16.5" x14ac:dyDescent="0.25">
      <c r="A215" s="63"/>
      <c r="B215" s="58" t="s">
        <v>215</v>
      </c>
      <c r="C215" s="51">
        <v>223</v>
      </c>
      <c r="D215" s="33">
        <f t="shared" si="56"/>
        <v>0</v>
      </c>
      <c r="E215" s="33">
        <f t="shared" si="56"/>
        <v>0</v>
      </c>
      <c r="F215" s="33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33"/>
      <c r="T215" s="81"/>
    </row>
    <row r="216" spans="1:20" s="6" customFormat="1" ht="16.5" x14ac:dyDescent="0.25">
      <c r="A216" s="63" t="s">
        <v>236</v>
      </c>
      <c r="B216" s="58" t="s">
        <v>217</v>
      </c>
      <c r="C216" s="51">
        <v>224</v>
      </c>
      <c r="D216" s="33">
        <f t="shared" si="56"/>
        <v>0</v>
      </c>
      <c r="E216" s="33">
        <f t="shared" si="56"/>
        <v>0</v>
      </c>
      <c r="F216" s="33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33"/>
      <c r="T216" s="81"/>
    </row>
    <row r="217" spans="1:20" s="6" customFormat="1" ht="16.5" x14ac:dyDescent="0.25">
      <c r="A217" s="63" t="s">
        <v>237</v>
      </c>
      <c r="B217" s="58" t="s">
        <v>219</v>
      </c>
      <c r="C217" s="51">
        <v>225</v>
      </c>
      <c r="D217" s="33">
        <f t="shared" si="56"/>
        <v>0</v>
      </c>
      <c r="E217" s="33">
        <f t="shared" si="56"/>
        <v>0</v>
      </c>
      <c r="F217" s="33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33"/>
      <c r="T217" s="81"/>
    </row>
    <row r="218" spans="1:20" s="6" customFormat="1" ht="16.5" x14ac:dyDescent="0.25">
      <c r="A218" s="63" t="s">
        <v>238</v>
      </c>
      <c r="B218" s="28" t="s">
        <v>64</v>
      </c>
      <c r="C218" s="51">
        <v>225</v>
      </c>
      <c r="D218" s="33">
        <f t="shared" si="56"/>
        <v>130245.94</v>
      </c>
      <c r="E218" s="33">
        <f t="shared" si="56"/>
        <v>23600</v>
      </c>
      <c r="F218" s="33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33">
        <v>130245.94</v>
      </c>
      <c r="T218" s="81">
        <v>23600</v>
      </c>
    </row>
    <row r="219" spans="1:20" s="6" customFormat="1" ht="16.5" x14ac:dyDescent="0.25">
      <c r="A219" s="63" t="s">
        <v>239</v>
      </c>
      <c r="B219" s="28" t="s">
        <v>66</v>
      </c>
      <c r="C219" s="51">
        <v>226</v>
      </c>
      <c r="D219" s="33">
        <f t="shared" si="56"/>
        <v>117355.02</v>
      </c>
      <c r="E219" s="33">
        <f t="shared" si="56"/>
        <v>202704.17</v>
      </c>
      <c r="F219" s="33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33">
        <v>117355.02</v>
      </c>
      <c r="T219" s="81">
        <v>202704.17</v>
      </c>
    </row>
    <row r="220" spans="1:20" s="6" customFormat="1" ht="16.5" x14ac:dyDescent="0.25">
      <c r="A220" s="63" t="s">
        <v>240</v>
      </c>
      <c r="B220" s="28" t="s">
        <v>68</v>
      </c>
      <c r="C220" s="51">
        <v>290</v>
      </c>
      <c r="D220" s="33">
        <f t="shared" si="56"/>
        <v>36159.050000000003</v>
      </c>
      <c r="E220" s="33">
        <f t="shared" si="56"/>
        <v>41307.089999999997</v>
      </c>
      <c r="F220" s="33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33">
        <v>36159.050000000003</v>
      </c>
      <c r="T220" s="81">
        <v>41307.089999999997</v>
      </c>
    </row>
    <row r="221" spans="1:20" s="6" customFormat="1" ht="16.5" x14ac:dyDescent="0.25">
      <c r="A221" s="63" t="s">
        <v>241</v>
      </c>
      <c r="B221" s="58" t="s">
        <v>72</v>
      </c>
      <c r="C221" s="51">
        <v>310</v>
      </c>
      <c r="D221" s="33">
        <f t="shared" si="56"/>
        <v>9215.98</v>
      </c>
      <c r="E221" s="33">
        <f t="shared" si="56"/>
        <v>0</v>
      </c>
      <c r="F221" s="33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33">
        <v>9215.98</v>
      </c>
      <c r="T221" s="81">
        <v>0</v>
      </c>
    </row>
    <row r="222" spans="1:20" s="6" customFormat="1" ht="16.5" x14ac:dyDescent="0.25">
      <c r="A222" s="63" t="s">
        <v>242</v>
      </c>
      <c r="B222" s="58" t="s">
        <v>243</v>
      </c>
      <c r="C222" s="51">
        <v>340</v>
      </c>
      <c r="D222" s="33">
        <f t="shared" si="56"/>
        <v>544000.53</v>
      </c>
      <c r="E222" s="33">
        <f t="shared" si="56"/>
        <v>96386.81</v>
      </c>
      <c r="F222" s="33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33">
        <v>544000.53</v>
      </c>
      <c r="T222" s="81">
        <v>96386.81</v>
      </c>
    </row>
    <row r="223" spans="1:20" s="18" customFormat="1" ht="17.25" x14ac:dyDescent="0.25">
      <c r="A223" s="61" t="s">
        <v>244</v>
      </c>
      <c r="B223" s="62" t="s">
        <v>40</v>
      </c>
      <c r="C223" s="49"/>
      <c r="D223" s="33">
        <f t="shared" si="56"/>
        <v>0</v>
      </c>
      <c r="E223" s="33">
        <f t="shared" si="56"/>
        <v>0</v>
      </c>
      <c r="F223" s="33"/>
      <c r="G223" s="34">
        <f t="shared" ref="G223:T223" si="65">SUM(G224+G225+G226+G227+G228+G229+G233+G234+G235+G236+G237+G238+G239+G240)</f>
        <v>0</v>
      </c>
      <c r="H223" s="34"/>
      <c r="I223" s="34">
        <f t="shared" si="65"/>
        <v>0</v>
      </c>
      <c r="J223" s="34"/>
      <c r="K223" s="34">
        <f t="shared" si="65"/>
        <v>0</v>
      </c>
      <c r="L223" s="34"/>
      <c r="M223" s="34">
        <f t="shared" si="65"/>
        <v>0</v>
      </c>
      <c r="N223" s="34"/>
      <c r="O223" s="34">
        <f t="shared" si="65"/>
        <v>0</v>
      </c>
      <c r="P223" s="34"/>
      <c r="Q223" s="34"/>
      <c r="R223" s="34"/>
      <c r="S223" s="34">
        <f t="shared" si="65"/>
        <v>0</v>
      </c>
      <c r="T223" s="34">
        <f t="shared" si="65"/>
        <v>0</v>
      </c>
    </row>
    <row r="224" spans="1:20" s="6" customFormat="1" ht="16.5" hidden="1" x14ac:dyDescent="0.25">
      <c r="A224" s="63" t="s">
        <v>245</v>
      </c>
      <c r="B224" s="28" t="s">
        <v>47</v>
      </c>
      <c r="C224" s="51">
        <v>211</v>
      </c>
      <c r="D224" s="33">
        <f t="shared" si="56"/>
        <v>0</v>
      </c>
      <c r="E224" s="33">
        <f t="shared" si="56"/>
        <v>0</v>
      </c>
      <c r="F224" s="33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</row>
    <row r="225" spans="1:20" s="6" customFormat="1" ht="16.5" hidden="1" x14ac:dyDescent="0.25">
      <c r="A225" s="63" t="s">
        <v>246</v>
      </c>
      <c r="B225" s="28" t="s">
        <v>49</v>
      </c>
      <c r="C225" s="51">
        <v>212</v>
      </c>
      <c r="D225" s="33">
        <f t="shared" si="56"/>
        <v>0</v>
      </c>
      <c r="E225" s="33">
        <f t="shared" si="56"/>
        <v>0</v>
      </c>
      <c r="F225" s="33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</row>
    <row r="226" spans="1:20" s="6" customFormat="1" ht="16.5" hidden="1" x14ac:dyDescent="0.25">
      <c r="A226" s="63" t="s">
        <v>247</v>
      </c>
      <c r="B226" s="28" t="s">
        <v>51</v>
      </c>
      <c r="C226" s="51">
        <v>213</v>
      </c>
      <c r="D226" s="33">
        <f t="shared" si="56"/>
        <v>0</v>
      </c>
      <c r="E226" s="33">
        <f t="shared" si="56"/>
        <v>0</v>
      </c>
      <c r="F226" s="33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</row>
    <row r="227" spans="1:20" s="6" customFormat="1" ht="16.5" hidden="1" x14ac:dyDescent="0.25">
      <c r="A227" s="63" t="s">
        <v>248</v>
      </c>
      <c r="B227" s="28" t="s">
        <v>53</v>
      </c>
      <c r="C227" s="51">
        <v>221</v>
      </c>
      <c r="D227" s="33">
        <f t="shared" si="56"/>
        <v>0</v>
      </c>
      <c r="E227" s="33">
        <f t="shared" si="56"/>
        <v>0</v>
      </c>
      <c r="F227" s="33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</row>
    <row r="228" spans="1:20" s="6" customFormat="1" ht="16.5" hidden="1" x14ac:dyDescent="0.25">
      <c r="A228" s="63" t="s">
        <v>249</v>
      </c>
      <c r="B228" s="28" t="s">
        <v>55</v>
      </c>
      <c r="C228" s="51">
        <v>222</v>
      </c>
      <c r="D228" s="33">
        <f t="shared" si="56"/>
        <v>0</v>
      </c>
      <c r="E228" s="33">
        <f t="shared" si="56"/>
        <v>0</v>
      </c>
      <c r="F228" s="33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</row>
    <row r="229" spans="1:20" s="6" customFormat="1" ht="16.5" hidden="1" x14ac:dyDescent="0.25">
      <c r="A229" s="63" t="s">
        <v>250</v>
      </c>
      <c r="B229" s="28" t="s">
        <v>57</v>
      </c>
      <c r="C229" s="51">
        <v>223</v>
      </c>
      <c r="D229" s="33">
        <f t="shared" si="56"/>
        <v>0</v>
      </c>
      <c r="E229" s="33">
        <f t="shared" si="56"/>
        <v>0</v>
      </c>
      <c r="F229" s="33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</row>
    <row r="230" spans="1:20" s="6" customFormat="1" ht="16.5" hidden="1" x14ac:dyDescent="0.25">
      <c r="A230" s="63"/>
      <c r="B230" s="58" t="s">
        <v>213</v>
      </c>
      <c r="C230" s="51">
        <v>223</v>
      </c>
      <c r="D230" s="33">
        <f t="shared" si="56"/>
        <v>0</v>
      </c>
      <c r="E230" s="33">
        <f t="shared" si="56"/>
        <v>0</v>
      </c>
      <c r="F230" s="33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</row>
    <row r="231" spans="1:20" s="6" customFormat="1" ht="16.5" hidden="1" x14ac:dyDescent="0.25">
      <c r="A231" s="63"/>
      <c r="B231" s="58" t="s">
        <v>214</v>
      </c>
      <c r="C231" s="51">
        <v>223</v>
      </c>
      <c r="D231" s="33">
        <f t="shared" ref="D231:E258" si="66">SUM(G231+I231+K231+M231+O231+Q231+S231)</f>
        <v>0</v>
      </c>
      <c r="E231" s="33">
        <f t="shared" si="66"/>
        <v>0</v>
      </c>
      <c r="F231" s="33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</row>
    <row r="232" spans="1:20" s="6" customFormat="1" ht="16.5" hidden="1" x14ac:dyDescent="0.25">
      <c r="A232" s="63"/>
      <c r="B232" s="58" t="s">
        <v>215</v>
      </c>
      <c r="C232" s="51">
        <v>223</v>
      </c>
      <c r="D232" s="33">
        <f t="shared" si="66"/>
        <v>0</v>
      </c>
      <c r="E232" s="33">
        <f t="shared" si="66"/>
        <v>0</v>
      </c>
      <c r="F232" s="33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</row>
    <row r="233" spans="1:20" s="6" customFormat="1" ht="16.5" hidden="1" x14ac:dyDescent="0.25">
      <c r="A233" s="63" t="s">
        <v>251</v>
      </c>
      <c r="B233" s="58" t="s">
        <v>217</v>
      </c>
      <c r="C233" s="51">
        <v>224</v>
      </c>
      <c r="D233" s="33">
        <f t="shared" si="66"/>
        <v>0</v>
      </c>
      <c r="E233" s="33">
        <f t="shared" si="66"/>
        <v>0</v>
      </c>
      <c r="F233" s="33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</row>
    <row r="234" spans="1:20" s="6" customFormat="1" ht="16.5" hidden="1" x14ac:dyDescent="0.25">
      <c r="A234" s="63" t="s">
        <v>252</v>
      </c>
      <c r="B234" s="58" t="s">
        <v>219</v>
      </c>
      <c r="C234" s="51">
        <v>225</v>
      </c>
      <c r="D234" s="33">
        <f t="shared" si="66"/>
        <v>0</v>
      </c>
      <c r="E234" s="33">
        <f t="shared" si="66"/>
        <v>0</v>
      </c>
      <c r="F234" s="33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</row>
    <row r="235" spans="1:20" s="6" customFormat="1" ht="16.5" hidden="1" x14ac:dyDescent="0.25">
      <c r="A235" s="63" t="s">
        <v>253</v>
      </c>
      <c r="B235" s="28" t="s">
        <v>64</v>
      </c>
      <c r="C235" s="51">
        <v>225</v>
      </c>
      <c r="D235" s="33">
        <f t="shared" si="66"/>
        <v>0</v>
      </c>
      <c r="E235" s="33">
        <f t="shared" si="66"/>
        <v>0</v>
      </c>
      <c r="F235" s="33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</row>
    <row r="236" spans="1:20" s="6" customFormat="1" ht="16.5" hidden="1" x14ac:dyDescent="0.25">
      <c r="A236" s="63" t="s">
        <v>254</v>
      </c>
      <c r="B236" s="28" t="s">
        <v>66</v>
      </c>
      <c r="C236" s="51">
        <v>226</v>
      </c>
      <c r="D236" s="33">
        <f t="shared" si="66"/>
        <v>0</v>
      </c>
      <c r="E236" s="33">
        <f t="shared" si="66"/>
        <v>0</v>
      </c>
      <c r="F236" s="33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</row>
    <row r="237" spans="1:20" s="6" customFormat="1" ht="16.5" hidden="1" x14ac:dyDescent="0.25">
      <c r="A237" s="63" t="s">
        <v>255</v>
      </c>
      <c r="B237" s="58" t="s">
        <v>225</v>
      </c>
      <c r="C237" s="51">
        <v>226</v>
      </c>
      <c r="D237" s="33">
        <f t="shared" si="66"/>
        <v>0</v>
      </c>
      <c r="E237" s="33">
        <f t="shared" si="66"/>
        <v>0</v>
      </c>
      <c r="F237" s="33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</row>
    <row r="238" spans="1:20" s="6" customFormat="1" ht="16.5" hidden="1" x14ac:dyDescent="0.25">
      <c r="A238" s="63" t="s">
        <v>256</v>
      </c>
      <c r="B238" s="28" t="s">
        <v>68</v>
      </c>
      <c r="C238" s="51">
        <v>290</v>
      </c>
      <c r="D238" s="33">
        <f t="shared" si="66"/>
        <v>0</v>
      </c>
      <c r="E238" s="33">
        <f t="shared" si="66"/>
        <v>0</v>
      </c>
      <c r="F238" s="33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</row>
    <row r="239" spans="1:20" s="6" customFormat="1" ht="16.5" hidden="1" x14ac:dyDescent="0.25">
      <c r="A239" s="63" t="s">
        <v>257</v>
      </c>
      <c r="B239" s="58" t="s">
        <v>72</v>
      </c>
      <c r="C239" s="51">
        <v>310</v>
      </c>
      <c r="D239" s="33">
        <f t="shared" si="66"/>
        <v>0</v>
      </c>
      <c r="E239" s="33">
        <f t="shared" si="66"/>
        <v>0</v>
      </c>
      <c r="F239" s="33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</row>
    <row r="240" spans="1:20" s="6" customFormat="1" ht="16.5" x14ac:dyDescent="0.25">
      <c r="A240" s="63" t="s">
        <v>258</v>
      </c>
      <c r="B240" s="58" t="s">
        <v>243</v>
      </c>
      <c r="C240" s="51">
        <v>340</v>
      </c>
      <c r="D240" s="33">
        <f t="shared" si="66"/>
        <v>0</v>
      </c>
      <c r="E240" s="33">
        <f t="shared" si="66"/>
        <v>0</v>
      </c>
      <c r="F240" s="33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</row>
    <row r="241" spans="1:20" s="18" customFormat="1" ht="17.25" x14ac:dyDescent="0.25">
      <c r="A241" s="61" t="s">
        <v>259</v>
      </c>
      <c r="B241" s="62" t="s">
        <v>41</v>
      </c>
      <c r="C241" s="49"/>
      <c r="D241" s="33">
        <f t="shared" si="66"/>
        <v>14386024.140000001</v>
      </c>
      <c r="E241" s="33">
        <f t="shared" si="66"/>
        <v>4324826.43</v>
      </c>
      <c r="F241" s="33"/>
      <c r="G241" s="34">
        <f t="shared" ref="G241:S241" si="67">SUM(G242+G243+G244+G245+G246+G247+G251+G252+G253+G254+G255+G256+G257+G258)</f>
        <v>0</v>
      </c>
      <c r="H241" s="34"/>
      <c r="I241" s="34">
        <f t="shared" si="67"/>
        <v>0</v>
      </c>
      <c r="J241" s="34"/>
      <c r="K241" s="34">
        <f t="shared" si="67"/>
        <v>0</v>
      </c>
      <c r="L241" s="34"/>
      <c r="M241" s="34">
        <f t="shared" si="67"/>
        <v>0</v>
      </c>
      <c r="N241" s="34"/>
      <c r="O241" s="34">
        <f t="shared" si="67"/>
        <v>0</v>
      </c>
      <c r="P241" s="34"/>
      <c r="Q241" s="34"/>
      <c r="R241" s="34"/>
      <c r="S241" s="34">
        <f t="shared" si="67"/>
        <v>14386024.140000001</v>
      </c>
      <c r="T241" s="34">
        <f t="shared" ref="T241" si="68">SUM(T242+T243+T244+T245+T246+T247+T251+T252+T253+T254+T255+T256+T257+T258)</f>
        <v>4324826.43</v>
      </c>
    </row>
    <row r="242" spans="1:20" s="6" customFormat="1" ht="16.5" x14ac:dyDescent="0.25">
      <c r="A242" s="63" t="s">
        <v>260</v>
      </c>
      <c r="B242" s="28" t="s">
        <v>47</v>
      </c>
      <c r="C242" s="51">
        <v>211</v>
      </c>
      <c r="D242" s="33">
        <f t="shared" si="66"/>
        <v>508793.82</v>
      </c>
      <c r="E242" s="33">
        <f t="shared" si="66"/>
        <v>175600</v>
      </c>
      <c r="F242" s="33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33">
        <v>508793.82</v>
      </c>
      <c r="T242" s="96">
        <v>175600</v>
      </c>
    </row>
    <row r="243" spans="1:20" s="6" customFormat="1" ht="16.5" x14ac:dyDescent="0.25">
      <c r="A243" s="63" t="s">
        <v>261</v>
      </c>
      <c r="B243" s="28" t="s">
        <v>49</v>
      </c>
      <c r="C243" s="51">
        <v>212</v>
      </c>
      <c r="D243" s="33">
        <f t="shared" si="66"/>
        <v>0</v>
      </c>
      <c r="E243" s="33">
        <f t="shared" si="66"/>
        <v>0</v>
      </c>
      <c r="F243" s="33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33"/>
      <c r="T243" s="96">
        <v>0</v>
      </c>
    </row>
    <row r="244" spans="1:20" s="6" customFormat="1" ht="16.5" x14ac:dyDescent="0.25">
      <c r="A244" s="63" t="s">
        <v>262</v>
      </c>
      <c r="B244" s="28" t="s">
        <v>51</v>
      </c>
      <c r="C244" s="51">
        <v>213</v>
      </c>
      <c r="D244" s="33">
        <f t="shared" si="66"/>
        <v>153007.69</v>
      </c>
      <c r="E244" s="33">
        <f t="shared" si="66"/>
        <v>52828</v>
      </c>
      <c r="F244" s="33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33">
        <v>153007.69</v>
      </c>
      <c r="T244" s="96">
        <v>52828</v>
      </c>
    </row>
    <row r="245" spans="1:20" s="6" customFormat="1" ht="16.5" x14ac:dyDescent="0.25">
      <c r="A245" s="63" t="s">
        <v>263</v>
      </c>
      <c r="B245" s="28" t="s">
        <v>53</v>
      </c>
      <c r="C245" s="51">
        <v>221</v>
      </c>
      <c r="D245" s="33">
        <f t="shared" si="66"/>
        <v>290952.78000000003</v>
      </c>
      <c r="E245" s="33">
        <f t="shared" si="66"/>
        <v>62715.42</v>
      </c>
      <c r="F245" s="33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33">
        <v>290952.78000000003</v>
      </c>
      <c r="T245" s="96">
        <v>62715.42</v>
      </c>
    </row>
    <row r="246" spans="1:20" s="6" customFormat="1" ht="16.5" x14ac:dyDescent="0.25">
      <c r="A246" s="63" t="s">
        <v>264</v>
      </c>
      <c r="B246" s="28" t="s">
        <v>55</v>
      </c>
      <c r="C246" s="51">
        <v>222</v>
      </c>
      <c r="D246" s="33">
        <f t="shared" si="66"/>
        <v>0</v>
      </c>
      <c r="E246" s="33">
        <f t="shared" si="66"/>
        <v>45626.18</v>
      </c>
      <c r="F246" s="33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33"/>
      <c r="T246" s="96">
        <v>45626.18</v>
      </c>
    </row>
    <row r="247" spans="1:20" s="6" customFormat="1" ht="16.5" x14ac:dyDescent="0.25">
      <c r="A247" s="63" t="s">
        <v>265</v>
      </c>
      <c r="B247" s="28" t="s">
        <v>57</v>
      </c>
      <c r="C247" s="51">
        <v>223</v>
      </c>
      <c r="D247" s="33">
        <f t="shared" si="66"/>
        <v>0</v>
      </c>
      <c r="E247" s="33">
        <f t="shared" si="66"/>
        <v>0</v>
      </c>
      <c r="F247" s="33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33"/>
      <c r="T247" s="96"/>
    </row>
    <row r="248" spans="1:20" s="6" customFormat="1" ht="16.5" hidden="1" x14ac:dyDescent="0.25">
      <c r="A248" s="63"/>
      <c r="B248" s="58" t="s">
        <v>213</v>
      </c>
      <c r="C248" s="51">
        <v>223</v>
      </c>
      <c r="D248" s="33">
        <f t="shared" si="66"/>
        <v>0</v>
      </c>
      <c r="E248" s="33">
        <f t="shared" si="66"/>
        <v>0</v>
      </c>
      <c r="F248" s="33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33"/>
      <c r="T248" s="96"/>
    </row>
    <row r="249" spans="1:20" s="6" customFormat="1" ht="16.5" hidden="1" x14ac:dyDescent="0.25">
      <c r="A249" s="63"/>
      <c r="B249" s="58" t="s">
        <v>214</v>
      </c>
      <c r="C249" s="51">
        <v>223</v>
      </c>
      <c r="D249" s="33">
        <f t="shared" si="66"/>
        <v>0</v>
      </c>
      <c r="E249" s="33">
        <f t="shared" si="66"/>
        <v>0</v>
      </c>
      <c r="F249" s="33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33"/>
      <c r="T249" s="96"/>
    </row>
    <row r="250" spans="1:20" s="6" customFormat="1" ht="16.5" hidden="1" x14ac:dyDescent="0.25">
      <c r="A250" s="63"/>
      <c r="B250" s="58" t="s">
        <v>215</v>
      </c>
      <c r="C250" s="51">
        <v>223</v>
      </c>
      <c r="D250" s="33">
        <f t="shared" si="66"/>
        <v>0</v>
      </c>
      <c r="E250" s="33">
        <f t="shared" si="66"/>
        <v>0</v>
      </c>
      <c r="F250" s="33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33"/>
      <c r="T250" s="96"/>
    </row>
    <row r="251" spans="1:20" s="6" customFormat="1" ht="16.5" x14ac:dyDescent="0.25">
      <c r="A251" s="63" t="s">
        <v>266</v>
      </c>
      <c r="B251" s="58" t="s">
        <v>217</v>
      </c>
      <c r="C251" s="51">
        <v>224</v>
      </c>
      <c r="D251" s="33">
        <f t="shared" si="66"/>
        <v>0</v>
      </c>
      <c r="E251" s="33">
        <f t="shared" si="66"/>
        <v>0</v>
      </c>
      <c r="F251" s="33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33"/>
      <c r="T251" s="96"/>
    </row>
    <row r="252" spans="1:20" s="6" customFormat="1" ht="16.5" x14ac:dyDescent="0.25">
      <c r="A252" s="63" t="s">
        <v>267</v>
      </c>
      <c r="B252" s="58" t="s">
        <v>219</v>
      </c>
      <c r="C252" s="51">
        <v>225</v>
      </c>
      <c r="D252" s="33">
        <f t="shared" si="66"/>
        <v>0</v>
      </c>
      <c r="E252" s="33">
        <f t="shared" si="66"/>
        <v>0</v>
      </c>
      <c r="F252" s="33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33"/>
      <c r="T252" s="96"/>
    </row>
    <row r="253" spans="1:20" s="6" customFormat="1" ht="16.5" x14ac:dyDescent="0.25">
      <c r="A253" s="63" t="s">
        <v>268</v>
      </c>
      <c r="B253" s="28" t="s">
        <v>64</v>
      </c>
      <c r="C253" s="51">
        <v>225</v>
      </c>
      <c r="D253" s="33">
        <f t="shared" si="66"/>
        <v>1681979.57</v>
      </c>
      <c r="E253" s="33">
        <f t="shared" si="66"/>
        <v>628689.31000000006</v>
      </c>
      <c r="F253" s="33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33">
        <v>1681979.57</v>
      </c>
      <c r="T253" s="96">
        <v>628689.31000000006</v>
      </c>
    </row>
    <row r="254" spans="1:20" s="6" customFormat="1" ht="16.5" x14ac:dyDescent="0.25">
      <c r="A254" s="63" t="s">
        <v>269</v>
      </c>
      <c r="B254" s="28" t="s">
        <v>66</v>
      </c>
      <c r="C254" s="51">
        <v>226</v>
      </c>
      <c r="D254" s="33">
        <f t="shared" si="66"/>
        <v>3704751.25</v>
      </c>
      <c r="E254" s="33">
        <f t="shared" si="66"/>
        <v>1991886.85</v>
      </c>
      <c r="F254" s="33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33">
        <v>3704751.25</v>
      </c>
      <c r="T254" s="96">
        <v>1991886.85</v>
      </c>
    </row>
    <row r="255" spans="1:20" s="6" customFormat="1" ht="16.5" x14ac:dyDescent="0.25">
      <c r="A255" s="63" t="s">
        <v>270</v>
      </c>
      <c r="B255" s="58" t="s">
        <v>225</v>
      </c>
      <c r="C255" s="51">
        <v>226</v>
      </c>
      <c r="D255" s="33">
        <f t="shared" si="66"/>
        <v>0</v>
      </c>
      <c r="E255" s="33">
        <f t="shared" si="66"/>
        <v>0</v>
      </c>
      <c r="F255" s="33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33"/>
      <c r="T255" s="96"/>
    </row>
    <row r="256" spans="1:20" s="6" customFormat="1" ht="16.5" x14ac:dyDescent="0.25">
      <c r="A256" s="63" t="s">
        <v>271</v>
      </c>
      <c r="B256" s="28" t="s">
        <v>68</v>
      </c>
      <c r="C256" s="51">
        <v>290</v>
      </c>
      <c r="D256" s="33">
        <f t="shared" si="66"/>
        <v>987299.77</v>
      </c>
      <c r="E256" s="33">
        <f t="shared" si="66"/>
        <v>36995.32</v>
      </c>
      <c r="F256" s="33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33">
        <v>987299.77</v>
      </c>
      <c r="T256" s="96">
        <f>26580+750+9665.32</f>
        <v>36995.32</v>
      </c>
    </row>
    <row r="257" spans="1:20" s="6" customFormat="1" ht="16.5" x14ac:dyDescent="0.25">
      <c r="A257" s="63" t="s">
        <v>272</v>
      </c>
      <c r="B257" s="58" t="s">
        <v>72</v>
      </c>
      <c r="C257" s="51">
        <v>310</v>
      </c>
      <c r="D257" s="33">
        <f t="shared" si="66"/>
        <v>2765900.75</v>
      </c>
      <c r="E257" s="33">
        <f t="shared" si="66"/>
        <v>219605.5</v>
      </c>
      <c r="F257" s="33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33">
        <v>2765900.75</v>
      </c>
      <c r="T257" s="96">
        <v>219605.5</v>
      </c>
    </row>
    <row r="258" spans="1:20" s="6" customFormat="1" ht="16.5" x14ac:dyDescent="0.25">
      <c r="A258" s="63" t="s">
        <v>273</v>
      </c>
      <c r="B258" s="58" t="s">
        <v>243</v>
      </c>
      <c r="C258" s="51">
        <v>340</v>
      </c>
      <c r="D258" s="33">
        <f t="shared" si="66"/>
        <v>4293338.51</v>
      </c>
      <c r="E258" s="33">
        <f t="shared" si="66"/>
        <v>1110879.8500000001</v>
      </c>
      <c r="F258" s="33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33">
        <v>4293338.51</v>
      </c>
      <c r="T258" s="96">
        <v>1110879.8500000001</v>
      </c>
    </row>
    <row r="259" spans="1:20" s="18" customFormat="1" ht="20.25" customHeight="1" x14ac:dyDescent="0.25">
      <c r="A259" s="168" t="s">
        <v>304</v>
      </c>
      <c r="B259" s="168"/>
      <c r="C259" s="49"/>
      <c r="D259" s="34">
        <f t="shared" ref="D259:E259" si="69">SUM(D15+D31-D47)</f>
        <v>-2.384185791015625E-7</v>
      </c>
      <c r="E259" s="34">
        <f t="shared" si="69"/>
        <v>29725843.470000088</v>
      </c>
      <c r="F259" s="34"/>
      <c r="G259" s="34">
        <f t="shared" ref="G259" si="70">SUM(G15+G31-G47)</f>
        <v>0</v>
      </c>
      <c r="H259" s="34">
        <f t="shared" ref="H259:T259" si="71">SUM(H15+H31-H47)</f>
        <v>11098130.070000008</v>
      </c>
      <c r="I259" s="34">
        <f t="shared" si="71"/>
        <v>0</v>
      </c>
      <c r="J259" s="34">
        <f t="shared" si="71"/>
        <v>4995852.8500000238</v>
      </c>
      <c r="K259" s="34">
        <f t="shared" si="71"/>
        <v>0</v>
      </c>
      <c r="L259" s="34">
        <f t="shared" si="71"/>
        <v>105312.48000000001</v>
      </c>
      <c r="M259" s="34">
        <f t="shared" si="71"/>
        <v>0</v>
      </c>
      <c r="N259" s="34">
        <f t="shared" si="71"/>
        <v>52332</v>
      </c>
      <c r="O259" s="34">
        <f t="shared" si="71"/>
        <v>0</v>
      </c>
      <c r="P259" s="34">
        <f t="shared" si="71"/>
        <v>305840</v>
      </c>
      <c r="Q259" s="34">
        <f t="shared" si="71"/>
        <v>0</v>
      </c>
      <c r="R259" s="34">
        <f t="shared" si="71"/>
        <v>0</v>
      </c>
      <c r="S259" s="34">
        <f t="shared" si="71"/>
        <v>1.4901161193847656E-8</v>
      </c>
      <c r="T259" s="34">
        <f t="shared" si="71"/>
        <v>13168376.07</v>
      </c>
    </row>
    <row r="260" spans="1:20" s="18" customFormat="1" ht="17.25" x14ac:dyDescent="0.25">
      <c r="A260" s="47" t="s">
        <v>17</v>
      </c>
      <c r="B260" s="48" t="s">
        <v>18</v>
      </c>
      <c r="C260" s="49"/>
      <c r="D260" s="34">
        <f t="shared" ref="D260:E260" si="72">SUM(D261:D263)</f>
        <v>0</v>
      </c>
      <c r="E260" s="34">
        <f t="shared" si="72"/>
        <v>8970082.8900000807</v>
      </c>
      <c r="F260" s="34"/>
      <c r="G260" s="34">
        <f>SUM(G261:G263)</f>
        <v>0</v>
      </c>
      <c r="H260" s="34">
        <f t="shared" ref="H260:T260" si="73">SUM(H261:H263)</f>
        <v>3510745.5599999931</v>
      </c>
      <c r="I260" s="34">
        <f t="shared" si="73"/>
        <v>0</v>
      </c>
      <c r="J260" s="34">
        <f t="shared" si="73"/>
        <v>4995852.8500000238</v>
      </c>
      <c r="K260" s="34">
        <f t="shared" si="73"/>
        <v>0</v>
      </c>
      <c r="L260" s="34">
        <f t="shared" si="73"/>
        <v>105312.48000000001</v>
      </c>
      <c r="M260" s="34">
        <f t="shared" si="73"/>
        <v>0</v>
      </c>
      <c r="N260" s="34">
        <f t="shared" si="73"/>
        <v>52332</v>
      </c>
      <c r="O260" s="34">
        <f t="shared" si="73"/>
        <v>0</v>
      </c>
      <c r="P260" s="34">
        <f t="shared" si="73"/>
        <v>305840</v>
      </c>
      <c r="Q260" s="34">
        <f t="shared" si="73"/>
        <v>0</v>
      </c>
      <c r="R260" s="34">
        <f t="shared" si="73"/>
        <v>0</v>
      </c>
      <c r="S260" s="34">
        <f t="shared" si="73"/>
        <v>0</v>
      </c>
      <c r="T260" s="34">
        <f t="shared" si="73"/>
        <v>0</v>
      </c>
    </row>
    <row r="261" spans="1:20" s="6" customFormat="1" ht="16.5" x14ac:dyDescent="0.25">
      <c r="A261" s="50" t="s">
        <v>19</v>
      </c>
      <c r="B261" s="28" t="s">
        <v>274</v>
      </c>
      <c r="C261" s="51"/>
      <c r="D261" s="33">
        <f t="shared" ref="D261:E261" si="74">D17+D33-D49</f>
        <v>0</v>
      </c>
      <c r="E261" s="33">
        <f t="shared" si="74"/>
        <v>6379362.0400000811</v>
      </c>
      <c r="F261" s="33"/>
      <c r="G261" s="33">
        <f>G17+G33-G49</f>
        <v>0</v>
      </c>
      <c r="H261" s="33">
        <f t="shared" ref="H261:T261" si="75">H17+H33-H49</f>
        <v>920024.70999999344</v>
      </c>
      <c r="I261" s="33">
        <f t="shared" si="75"/>
        <v>0</v>
      </c>
      <c r="J261" s="33">
        <f t="shared" si="75"/>
        <v>4995852.8500000238</v>
      </c>
      <c r="K261" s="33">
        <f t="shared" si="75"/>
        <v>0</v>
      </c>
      <c r="L261" s="33">
        <f t="shared" si="75"/>
        <v>105312.48000000001</v>
      </c>
      <c r="M261" s="33">
        <f t="shared" si="75"/>
        <v>0</v>
      </c>
      <c r="N261" s="33">
        <f t="shared" si="75"/>
        <v>52332</v>
      </c>
      <c r="O261" s="33">
        <f t="shared" si="75"/>
        <v>0</v>
      </c>
      <c r="P261" s="33">
        <f t="shared" si="75"/>
        <v>305840</v>
      </c>
      <c r="Q261" s="33">
        <f t="shared" si="75"/>
        <v>0</v>
      </c>
      <c r="R261" s="33">
        <f t="shared" si="75"/>
        <v>0</v>
      </c>
      <c r="S261" s="33">
        <f t="shared" si="75"/>
        <v>0</v>
      </c>
      <c r="T261" s="33">
        <f t="shared" si="75"/>
        <v>0</v>
      </c>
    </row>
    <row r="262" spans="1:20" s="6" customFormat="1" ht="16.5" x14ac:dyDescent="0.25">
      <c r="A262" s="50" t="s">
        <v>21</v>
      </c>
      <c r="B262" s="28" t="s">
        <v>22</v>
      </c>
      <c r="C262" s="51"/>
      <c r="D262" s="33">
        <f t="shared" ref="D262:E262" si="76">D19+D34-D78</f>
        <v>0</v>
      </c>
      <c r="E262" s="33">
        <f t="shared" si="76"/>
        <v>2590720.8499999996</v>
      </c>
      <c r="F262" s="33"/>
      <c r="G262" s="33">
        <f>G19+G34-G78</f>
        <v>0</v>
      </c>
      <c r="H262" s="33">
        <f t="shared" ref="H262:T262" si="77">H19+H34-H78</f>
        <v>2590720.8499999996</v>
      </c>
      <c r="I262" s="33">
        <f t="shared" si="77"/>
        <v>0</v>
      </c>
      <c r="J262" s="33">
        <f t="shared" si="77"/>
        <v>0</v>
      </c>
      <c r="K262" s="33">
        <f t="shared" si="77"/>
        <v>0</v>
      </c>
      <c r="L262" s="33">
        <f t="shared" si="77"/>
        <v>0</v>
      </c>
      <c r="M262" s="33">
        <f t="shared" si="77"/>
        <v>0</v>
      </c>
      <c r="N262" s="33">
        <f t="shared" si="77"/>
        <v>0</v>
      </c>
      <c r="O262" s="33">
        <f t="shared" si="77"/>
        <v>0</v>
      </c>
      <c r="P262" s="33">
        <f t="shared" si="77"/>
        <v>0</v>
      </c>
      <c r="Q262" s="33">
        <f t="shared" si="77"/>
        <v>0</v>
      </c>
      <c r="R262" s="33">
        <f t="shared" si="77"/>
        <v>0</v>
      </c>
      <c r="S262" s="33">
        <f t="shared" si="77"/>
        <v>0</v>
      </c>
      <c r="T262" s="33">
        <f t="shared" si="77"/>
        <v>0</v>
      </c>
    </row>
    <row r="263" spans="1:20" s="6" customFormat="1" ht="16.5" x14ac:dyDescent="0.25">
      <c r="A263" s="52" t="s">
        <v>23</v>
      </c>
      <c r="B263" s="28" t="s">
        <v>24</v>
      </c>
      <c r="C263" s="51"/>
      <c r="D263" s="33">
        <f t="shared" ref="D263:E263" si="78">SUM(D19+D35-D82)</f>
        <v>0</v>
      </c>
      <c r="E263" s="33">
        <f t="shared" si="78"/>
        <v>0</v>
      </c>
      <c r="F263" s="33"/>
      <c r="G263" s="33">
        <f t="shared" ref="G263" si="79">SUM(G19+G35-G82)</f>
        <v>0</v>
      </c>
      <c r="H263" s="33">
        <f t="shared" ref="H263:T263" si="80">SUM(H19+H35-H82)</f>
        <v>0</v>
      </c>
      <c r="I263" s="33">
        <f t="shared" si="80"/>
        <v>0</v>
      </c>
      <c r="J263" s="33">
        <f t="shared" si="80"/>
        <v>0</v>
      </c>
      <c r="K263" s="33">
        <f t="shared" si="80"/>
        <v>0</v>
      </c>
      <c r="L263" s="33">
        <f t="shared" si="80"/>
        <v>0</v>
      </c>
      <c r="M263" s="33">
        <f t="shared" si="80"/>
        <v>0</v>
      </c>
      <c r="N263" s="33">
        <f t="shared" si="80"/>
        <v>0</v>
      </c>
      <c r="O263" s="33">
        <f t="shared" si="80"/>
        <v>0</v>
      </c>
      <c r="P263" s="33">
        <f t="shared" si="80"/>
        <v>0</v>
      </c>
      <c r="Q263" s="33">
        <f t="shared" si="80"/>
        <v>0</v>
      </c>
      <c r="R263" s="33">
        <f t="shared" si="80"/>
        <v>0</v>
      </c>
      <c r="S263" s="33">
        <f t="shared" si="80"/>
        <v>0</v>
      </c>
      <c r="T263" s="33">
        <f t="shared" si="80"/>
        <v>0</v>
      </c>
    </row>
    <row r="264" spans="1:20" s="18" customFormat="1" ht="17.25" x14ac:dyDescent="0.25">
      <c r="A264" s="53" t="s">
        <v>25</v>
      </c>
      <c r="B264" s="48" t="s">
        <v>26</v>
      </c>
      <c r="C264" s="49"/>
      <c r="D264" s="34">
        <f t="shared" ref="D264:E264" si="81">D20+D36-D84</f>
        <v>0</v>
      </c>
      <c r="E264" s="34">
        <f t="shared" si="81"/>
        <v>7587384.5100000054</v>
      </c>
      <c r="F264" s="34"/>
      <c r="G264" s="34">
        <f t="shared" ref="G264:G265" si="82">G20+G36-G84</f>
        <v>0</v>
      </c>
      <c r="H264" s="34">
        <f t="shared" ref="H264:T264" si="83">H20+H36-H84</f>
        <v>7587384.5100000054</v>
      </c>
      <c r="I264" s="34">
        <f t="shared" si="83"/>
        <v>0</v>
      </c>
      <c r="J264" s="34">
        <f t="shared" si="83"/>
        <v>0</v>
      </c>
      <c r="K264" s="34">
        <f t="shared" si="83"/>
        <v>0</v>
      </c>
      <c r="L264" s="34">
        <f t="shared" si="83"/>
        <v>0</v>
      </c>
      <c r="M264" s="34">
        <f t="shared" si="83"/>
        <v>0</v>
      </c>
      <c r="N264" s="34">
        <f t="shared" si="83"/>
        <v>0</v>
      </c>
      <c r="O264" s="34">
        <f t="shared" si="83"/>
        <v>0</v>
      </c>
      <c r="P264" s="34">
        <f t="shared" si="83"/>
        <v>0</v>
      </c>
      <c r="Q264" s="34">
        <f t="shared" si="83"/>
        <v>0</v>
      </c>
      <c r="R264" s="34">
        <f t="shared" si="83"/>
        <v>0</v>
      </c>
      <c r="S264" s="34">
        <f t="shared" si="83"/>
        <v>0</v>
      </c>
      <c r="T264" s="34">
        <f t="shared" si="83"/>
        <v>0</v>
      </c>
    </row>
    <row r="265" spans="1:20" s="6" customFormat="1" ht="33" x14ac:dyDescent="0.25">
      <c r="A265" s="73" t="s">
        <v>27</v>
      </c>
      <c r="B265" s="58" t="s">
        <v>83</v>
      </c>
      <c r="C265" s="51"/>
      <c r="D265" s="33">
        <f t="shared" ref="D265:E265" si="84">D21+D37-D85</f>
        <v>0</v>
      </c>
      <c r="E265" s="33">
        <f t="shared" si="84"/>
        <v>7370656.3700000048</v>
      </c>
      <c r="F265" s="33"/>
      <c r="G265" s="33">
        <f t="shared" si="82"/>
        <v>0</v>
      </c>
      <c r="H265" s="33">
        <f t="shared" ref="H265:T265" si="85">H21+H37-H85</f>
        <v>7370656.3700000048</v>
      </c>
      <c r="I265" s="33">
        <f t="shared" si="85"/>
        <v>0</v>
      </c>
      <c r="J265" s="33">
        <f t="shared" si="85"/>
        <v>0</v>
      </c>
      <c r="K265" s="33">
        <f t="shared" si="85"/>
        <v>0</v>
      </c>
      <c r="L265" s="33">
        <f t="shared" si="85"/>
        <v>0</v>
      </c>
      <c r="M265" s="33">
        <f t="shared" si="85"/>
        <v>0</v>
      </c>
      <c r="N265" s="33">
        <f t="shared" si="85"/>
        <v>0</v>
      </c>
      <c r="O265" s="33">
        <f t="shared" si="85"/>
        <v>0</v>
      </c>
      <c r="P265" s="33">
        <f t="shared" si="85"/>
        <v>0</v>
      </c>
      <c r="Q265" s="33">
        <f>Q21+Q37-Q85</f>
        <v>0</v>
      </c>
      <c r="R265" s="33">
        <f t="shared" si="85"/>
        <v>0</v>
      </c>
      <c r="S265" s="33">
        <f t="shared" si="85"/>
        <v>0</v>
      </c>
      <c r="T265" s="33">
        <f t="shared" si="85"/>
        <v>0</v>
      </c>
    </row>
    <row r="266" spans="1:20" s="6" customFormat="1" ht="33" x14ac:dyDescent="0.25">
      <c r="A266" s="73" t="s">
        <v>29</v>
      </c>
      <c r="B266" s="58" t="s">
        <v>44</v>
      </c>
      <c r="C266" s="51"/>
      <c r="D266" s="33">
        <f t="shared" ref="D266:E266" si="86">D22+D38-D165</f>
        <v>0</v>
      </c>
      <c r="E266" s="33">
        <f t="shared" si="86"/>
        <v>0</v>
      </c>
      <c r="F266" s="33"/>
      <c r="G266" s="33">
        <f t="shared" ref="G266" si="87">G22+G38-G165</f>
        <v>0</v>
      </c>
      <c r="H266" s="33">
        <f t="shared" ref="H266:T266" si="88">H22+H38-H165</f>
        <v>0</v>
      </c>
      <c r="I266" s="33">
        <f t="shared" si="88"/>
        <v>0</v>
      </c>
      <c r="J266" s="33">
        <f t="shared" si="88"/>
        <v>0</v>
      </c>
      <c r="K266" s="33">
        <f t="shared" si="88"/>
        <v>0</v>
      </c>
      <c r="L266" s="33">
        <f t="shared" si="88"/>
        <v>0</v>
      </c>
      <c r="M266" s="33">
        <f t="shared" si="88"/>
        <v>0</v>
      </c>
      <c r="N266" s="33">
        <f t="shared" si="88"/>
        <v>0</v>
      </c>
      <c r="O266" s="33">
        <f t="shared" si="88"/>
        <v>0</v>
      </c>
      <c r="P266" s="33">
        <f t="shared" si="88"/>
        <v>0</v>
      </c>
      <c r="Q266" s="33">
        <f t="shared" si="88"/>
        <v>0</v>
      </c>
      <c r="R266" s="33">
        <f t="shared" si="88"/>
        <v>0</v>
      </c>
      <c r="S266" s="33">
        <f t="shared" si="88"/>
        <v>0</v>
      </c>
      <c r="T266" s="33">
        <f t="shared" si="88"/>
        <v>0</v>
      </c>
    </row>
    <row r="267" spans="1:20" s="6" customFormat="1" ht="49.5" x14ac:dyDescent="0.25">
      <c r="A267" s="73" t="s">
        <v>31</v>
      </c>
      <c r="B267" s="28" t="s">
        <v>189</v>
      </c>
      <c r="C267" s="51"/>
      <c r="D267" s="33">
        <f t="shared" ref="D267:E267" si="89">D23+D39-D168</f>
        <v>0</v>
      </c>
      <c r="E267" s="33">
        <f t="shared" si="89"/>
        <v>144842.09000000003</v>
      </c>
      <c r="F267" s="33"/>
      <c r="G267" s="33">
        <f t="shared" ref="G267" si="90">G23+G39-G168</f>
        <v>0</v>
      </c>
      <c r="H267" s="33">
        <f t="shared" ref="H267:T267" si="91">H23+H39-H168</f>
        <v>144842.09000000003</v>
      </c>
      <c r="I267" s="33">
        <f t="shared" si="91"/>
        <v>0</v>
      </c>
      <c r="J267" s="33">
        <f t="shared" si="91"/>
        <v>0</v>
      </c>
      <c r="K267" s="33">
        <f t="shared" si="91"/>
        <v>0</v>
      </c>
      <c r="L267" s="33">
        <f t="shared" si="91"/>
        <v>0</v>
      </c>
      <c r="M267" s="33">
        <f t="shared" si="91"/>
        <v>0</v>
      </c>
      <c r="N267" s="33">
        <f t="shared" si="91"/>
        <v>0</v>
      </c>
      <c r="O267" s="33">
        <f t="shared" si="91"/>
        <v>0</v>
      </c>
      <c r="P267" s="33">
        <f t="shared" si="91"/>
        <v>0</v>
      </c>
      <c r="Q267" s="33">
        <f t="shared" si="91"/>
        <v>0</v>
      </c>
      <c r="R267" s="33">
        <f t="shared" si="91"/>
        <v>0</v>
      </c>
      <c r="S267" s="33">
        <f t="shared" si="91"/>
        <v>0</v>
      </c>
      <c r="T267" s="33">
        <f t="shared" si="91"/>
        <v>0</v>
      </c>
    </row>
    <row r="268" spans="1:20" s="6" customFormat="1" ht="33" x14ac:dyDescent="0.25">
      <c r="A268" s="73" t="s">
        <v>33</v>
      </c>
      <c r="B268" s="58" t="s">
        <v>34</v>
      </c>
      <c r="C268" s="51"/>
      <c r="D268" s="33">
        <f t="shared" ref="D268:E268" si="92">D24+D40-D174</f>
        <v>0</v>
      </c>
      <c r="E268" s="33">
        <f t="shared" si="92"/>
        <v>71886.050000000047</v>
      </c>
      <c r="F268" s="33"/>
      <c r="G268" s="33">
        <f t="shared" ref="G268" si="93">G24+G40-G174</f>
        <v>0</v>
      </c>
      <c r="H268" s="33">
        <f t="shared" ref="H268:T268" si="94">H24+H40-H174</f>
        <v>71886.050000000047</v>
      </c>
      <c r="I268" s="33">
        <f t="shared" si="94"/>
        <v>0</v>
      </c>
      <c r="J268" s="33">
        <f t="shared" si="94"/>
        <v>0</v>
      </c>
      <c r="K268" s="33">
        <f t="shared" si="94"/>
        <v>0</v>
      </c>
      <c r="L268" s="33">
        <f t="shared" si="94"/>
        <v>0</v>
      </c>
      <c r="M268" s="33">
        <f t="shared" si="94"/>
        <v>0</v>
      </c>
      <c r="N268" s="33">
        <f t="shared" si="94"/>
        <v>0</v>
      </c>
      <c r="O268" s="33">
        <f t="shared" si="94"/>
        <v>0</v>
      </c>
      <c r="P268" s="33">
        <f t="shared" si="94"/>
        <v>0</v>
      </c>
      <c r="Q268" s="33">
        <f t="shared" si="94"/>
        <v>0</v>
      </c>
      <c r="R268" s="33">
        <f t="shared" si="94"/>
        <v>0</v>
      </c>
      <c r="S268" s="33">
        <f t="shared" si="94"/>
        <v>0</v>
      </c>
      <c r="T268" s="33">
        <f t="shared" si="94"/>
        <v>0</v>
      </c>
    </row>
    <row r="269" spans="1:20" s="6" customFormat="1" ht="49.5" x14ac:dyDescent="0.25">
      <c r="A269" s="73" t="s">
        <v>35</v>
      </c>
      <c r="B269" s="58" t="s">
        <v>36</v>
      </c>
      <c r="C269" s="51"/>
      <c r="D269" s="33">
        <f t="shared" ref="D269:E269" si="95">D25+D41-D180</f>
        <v>0</v>
      </c>
      <c r="E269" s="33">
        <f t="shared" si="95"/>
        <v>0</v>
      </c>
      <c r="F269" s="33"/>
      <c r="G269" s="33">
        <f t="shared" ref="G269" si="96">G25+G41-G180</f>
        <v>0</v>
      </c>
      <c r="H269" s="33">
        <f t="shared" ref="H269:T269" si="97">H25+H41-H180</f>
        <v>0</v>
      </c>
      <c r="I269" s="33">
        <f t="shared" si="97"/>
        <v>0</v>
      </c>
      <c r="J269" s="33">
        <f t="shared" si="97"/>
        <v>0</v>
      </c>
      <c r="K269" s="33">
        <f t="shared" si="97"/>
        <v>0</v>
      </c>
      <c r="L269" s="33">
        <f t="shared" si="97"/>
        <v>0</v>
      </c>
      <c r="M269" s="33">
        <f t="shared" si="97"/>
        <v>0</v>
      </c>
      <c r="N269" s="33">
        <f t="shared" si="97"/>
        <v>0</v>
      </c>
      <c r="O269" s="33">
        <f t="shared" si="97"/>
        <v>0</v>
      </c>
      <c r="P269" s="33">
        <f t="shared" si="97"/>
        <v>0</v>
      </c>
      <c r="Q269" s="33">
        <f t="shared" si="97"/>
        <v>0</v>
      </c>
      <c r="R269" s="33">
        <f t="shared" si="97"/>
        <v>0</v>
      </c>
      <c r="S269" s="33">
        <f t="shared" si="97"/>
        <v>0</v>
      </c>
      <c r="T269" s="33">
        <f t="shared" si="97"/>
        <v>0</v>
      </c>
    </row>
    <row r="270" spans="1:20" s="18" customFormat="1" ht="17.25" x14ac:dyDescent="0.25">
      <c r="A270" s="47">
        <v>3</v>
      </c>
      <c r="B270" s="62" t="s">
        <v>37</v>
      </c>
      <c r="C270" s="49"/>
      <c r="D270" s="34">
        <v>0</v>
      </c>
      <c r="E270" s="34">
        <v>0</v>
      </c>
      <c r="F270" s="34"/>
      <c r="G270" s="34">
        <v>0</v>
      </c>
      <c r="H270" s="34">
        <v>0</v>
      </c>
      <c r="I270" s="34">
        <v>0</v>
      </c>
      <c r="J270" s="34">
        <v>0</v>
      </c>
      <c r="K270" s="34">
        <v>0</v>
      </c>
      <c r="L270" s="34">
        <v>0</v>
      </c>
      <c r="M270" s="34">
        <v>0</v>
      </c>
      <c r="N270" s="34">
        <v>0</v>
      </c>
      <c r="O270" s="34">
        <v>0</v>
      </c>
      <c r="P270" s="34">
        <v>0</v>
      </c>
      <c r="Q270" s="34">
        <v>0</v>
      </c>
      <c r="R270" s="34">
        <v>0</v>
      </c>
      <c r="S270" s="34">
        <v>0</v>
      </c>
      <c r="T270" s="34">
        <v>0</v>
      </c>
    </row>
    <row r="271" spans="1:20" s="18" customFormat="1" ht="17.25" x14ac:dyDescent="0.25">
      <c r="A271" s="47">
        <v>4</v>
      </c>
      <c r="B271" s="62" t="s">
        <v>38</v>
      </c>
      <c r="C271" s="49"/>
      <c r="D271" s="34">
        <f t="shared" ref="D271:E271" si="98">D27+D43-D187</f>
        <v>0</v>
      </c>
      <c r="E271" s="34">
        <f t="shared" si="98"/>
        <v>11813890.870000005</v>
      </c>
      <c r="F271" s="34"/>
      <c r="G271" s="34">
        <f t="shared" ref="G271" si="99">G27+G43-G187</f>
        <v>0</v>
      </c>
      <c r="H271" s="34">
        <f t="shared" ref="H271:T271" si="100">H27+H43-H187</f>
        <v>0</v>
      </c>
      <c r="I271" s="34">
        <f t="shared" si="100"/>
        <v>0</v>
      </c>
      <c r="J271" s="34">
        <f t="shared" si="100"/>
        <v>0</v>
      </c>
      <c r="K271" s="34">
        <f t="shared" si="100"/>
        <v>0</v>
      </c>
      <c r="L271" s="34">
        <f t="shared" si="100"/>
        <v>0</v>
      </c>
      <c r="M271" s="34">
        <f t="shared" si="100"/>
        <v>0</v>
      </c>
      <c r="N271" s="34">
        <f t="shared" si="100"/>
        <v>0</v>
      </c>
      <c r="O271" s="34">
        <f t="shared" si="100"/>
        <v>0</v>
      </c>
      <c r="P271" s="34">
        <f t="shared" si="100"/>
        <v>0</v>
      </c>
      <c r="Q271" s="34">
        <f t="shared" si="100"/>
        <v>0</v>
      </c>
      <c r="R271" s="34">
        <f t="shared" si="100"/>
        <v>0</v>
      </c>
      <c r="S271" s="34">
        <f t="shared" si="100"/>
        <v>0</v>
      </c>
      <c r="T271" s="34">
        <f t="shared" si="100"/>
        <v>11813890.870000005</v>
      </c>
    </row>
    <row r="272" spans="1:20" s="18" customFormat="1" ht="17.25" x14ac:dyDescent="0.25">
      <c r="A272" s="47">
        <v>5</v>
      </c>
      <c r="B272" s="62" t="s">
        <v>39</v>
      </c>
      <c r="C272" s="49"/>
      <c r="D272" s="34">
        <f t="shared" ref="D272:E272" si="101">D28+D44-D206</f>
        <v>0</v>
      </c>
      <c r="E272" s="34">
        <f t="shared" si="101"/>
        <v>397521.27999999997</v>
      </c>
      <c r="F272" s="34"/>
      <c r="G272" s="34">
        <f t="shared" ref="G272" si="102">G28+G44-G206</f>
        <v>0</v>
      </c>
      <c r="H272" s="34">
        <f t="shared" ref="H272:T272" si="103">H28+H44-H206</f>
        <v>0</v>
      </c>
      <c r="I272" s="34">
        <f t="shared" si="103"/>
        <v>0</v>
      </c>
      <c r="J272" s="34">
        <f t="shared" si="103"/>
        <v>0</v>
      </c>
      <c r="K272" s="34">
        <f t="shared" si="103"/>
        <v>0</v>
      </c>
      <c r="L272" s="34">
        <f t="shared" si="103"/>
        <v>0</v>
      </c>
      <c r="M272" s="34">
        <f t="shared" si="103"/>
        <v>0</v>
      </c>
      <c r="N272" s="34">
        <f t="shared" si="103"/>
        <v>0</v>
      </c>
      <c r="O272" s="34">
        <f t="shared" si="103"/>
        <v>0</v>
      </c>
      <c r="P272" s="34">
        <f t="shared" si="103"/>
        <v>0</v>
      </c>
      <c r="Q272" s="34">
        <f t="shared" si="103"/>
        <v>0</v>
      </c>
      <c r="R272" s="34">
        <f t="shared" si="103"/>
        <v>0</v>
      </c>
      <c r="S272" s="34">
        <f t="shared" si="103"/>
        <v>0</v>
      </c>
      <c r="T272" s="34">
        <f t="shared" si="103"/>
        <v>397521.27999999997</v>
      </c>
    </row>
    <row r="273" spans="1:20" s="18" customFormat="1" ht="17.25" x14ac:dyDescent="0.25">
      <c r="A273" s="47">
        <v>6</v>
      </c>
      <c r="B273" s="62" t="s">
        <v>40</v>
      </c>
      <c r="C273" s="49"/>
      <c r="D273" s="34">
        <f t="shared" ref="D273:E273" si="104">D29+D45-D223</f>
        <v>0</v>
      </c>
      <c r="E273" s="34">
        <f t="shared" si="104"/>
        <v>90013</v>
      </c>
      <c r="F273" s="34"/>
      <c r="G273" s="34">
        <f t="shared" ref="G273" si="105">G29+G45-G223</f>
        <v>0</v>
      </c>
      <c r="H273" s="34">
        <f t="shared" ref="H273:T273" si="106">H29+H45-H223</f>
        <v>0</v>
      </c>
      <c r="I273" s="34">
        <f t="shared" si="106"/>
        <v>0</v>
      </c>
      <c r="J273" s="34">
        <f t="shared" si="106"/>
        <v>0</v>
      </c>
      <c r="K273" s="34">
        <f t="shared" si="106"/>
        <v>0</v>
      </c>
      <c r="L273" s="34">
        <f t="shared" si="106"/>
        <v>0</v>
      </c>
      <c r="M273" s="34">
        <f t="shared" si="106"/>
        <v>0</v>
      </c>
      <c r="N273" s="34">
        <f t="shared" si="106"/>
        <v>0</v>
      </c>
      <c r="O273" s="34">
        <f t="shared" si="106"/>
        <v>0</v>
      </c>
      <c r="P273" s="34">
        <f t="shared" si="106"/>
        <v>0</v>
      </c>
      <c r="Q273" s="34">
        <f t="shared" si="106"/>
        <v>0</v>
      </c>
      <c r="R273" s="34">
        <f t="shared" si="106"/>
        <v>0</v>
      </c>
      <c r="S273" s="34">
        <f t="shared" si="106"/>
        <v>0</v>
      </c>
      <c r="T273" s="34">
        <f t="shared" si="106"/>
        <v>90013</v>
      </c>
    </row>
    <row r="274" spans="1:20" s="18" customFormat="1" ht="17.25" x14ac:dyDescent="0.25">
      <c r="A274" s="47">
        <v>7</v>
      </c>
      <c r="B274" s="62" t="s">
        <v>41</v>
      </c>
      <c r="C274" s="49"/>
      <c r="D274" s="34">
        <f t="shared" ref="D274:E274" si="107">D30+D46-D241</f>
        <v>0</v>
      </c>
      <c r="E274" s="34">
        <f t="shared" si="107"/>
        <v>866950.92000000086</v>
      </c>
      <c r="F274" s="34"/>
      <c r="G274" s="34">
        <f t="shared" ref="G274" si="108">G30+G46-G241</f>
        <v>0</v>
      </c>
      <c r="H274" s="34">
        <f t="shared" ref="H274:T274" si="109">H30+H46-H241</f>
        <v>0</v>
      </c>
      <c r="I274" s="34">
        <f t="shared" si="109"/>
        <v>0</v>
      </c>
      <c r="J274" s="34">
        <f t="shared" si="109"/>
        <v>0</v>
      </c>
      <c r="K274" s="34">
        <f t="shared" si="109"/>
        <v>0</v>
      </c>
      <c r="L274" s="34">
        <f t="shared" si="109"/>
        <v>0</v>
      </c>
      <c r="M274" s="34">
        <f t="shared" si="109"/>
        <v>0</v>
      </c>
      <c r="N274" s="34">
        <f t="shared" si="109"/>
        <v>0</v>
      </c>
      <c r="O274" s="34">
        <f t="shared" si="109"/>
        <v>0</v>
      </c>
      <c r="P274" s="34">
        <f t="shared" si="109"/>
        <v>0</v>
      </c>
      <c r="Q274" s="34">
        <f t="shared" si="109"/>
        <v>0</v>
      </c>
      <c r="R274" s="34">
        <f t="shared" si="109"/>
        <v>0</v>
      </c>
      <c r="S274" s="34">
        <f t="shared" si="109"/>
        <v>0</v>
      </c>
      <c r="T274" s="34">
        <f t="shared" si="109"/>
        <v>866950.92000000086</v>
      </c>
    </row>
  </sheetData>
  <mergeCells count="23">
    <mergeCell ref="A15:B15"/>
    <mergeCell ref="A31:B31"/>
    <mergeCell ref="A47:B47"/>
    <mergeCell ref="A259:B259"/>
    <mergeCell ref="A9:S9"/>
    <mergeCell ref="A11:A14"/>
    <mergeCell ref="B11:B14"/>
    <mergeCell ref="C11:C14"/>
    <mergeCell ref="D11:E13"/>
    <mergeCell ref="G11:T11"/>
    <mergeCell ref="G12:H13"/>
    <mergeCell ref="I12:R12"/>
    <mergeCell ref="S12:T13"/>
    <mergeCell ref="I13:J13"/>
    <mergeCell ref="K13:L13"/>
    <mergeCell ref="M13:N13"/>
    <mergeCell ref="O13:P13"/>
    <mergeCell ref="Q13:R13"/>
    <mergeCell ref="M1:U1"/>
    <mergeCell ref="M2:U2"/>
    <mergeCell ref="M3:U3"/>
    <mergeCell ref="A7:T7"/>
    <mergeCell ref="A8:T8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45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Q274"/>
  <sheetViews>
    <sheetView view="pageBreakPreview" topLeftCell="A244" zoomScale="70" zoomScaleNormal="80" zoomScaleSheetLayoutView="70" workbookViewId="0">
      <selection activeCell="B127" sqref="B127"/>
    </sheetView>
  </sheetViews>
  <sheetFormatPr defaultRowHeight="15" x14ac:dyDescent="0.25"/>
  <cols>
    <col min="1" max="1" width="9" customWidth="1"/>
    <col min="2" max="2" width="80.5703125" customWidth="1"/>
    <col min="3" max="3" width="9.85546875" customWidth="1"/>
    <col min="4" max="4" width="17.7109375" bestFit="1" customWidth="1"/>
    <col min="5" max="6" width="16.85546875" customWidth="1"/>
    <col min="7" max="7" width="20.140625" customWidth="1"/>
    <col min="8" max="8" width="18.5703125" customWidth="1"/>
    <col min="9" max="9" width="6.42578125" hidden="1" customWidth="1"/>
    <col min="10" max="10" width="12.28515625" hidden="1" customWidth="1"/>
    <col min="11" max="11" width="6.42578125" hidden="1" customWidth="1"/>
    <col min="12" max="12" width="12.28515625" hidden="1" customWidth="1"/>
    <col min="13" max="13" width="17" customWidth="1"/>
    <col min="14" max="14" width="17.28515625" customWidth="1"/>
    <col min="15" max="15" width="6.42578125" hidden="1" customWidth="1"/>
    <col min="16" max="16" width="12.28515625" hidden="1" customWidth="1"/>
    <col min="17" max="17" width="6.42578125" hidden="1" customWidth="1"/>
    <col min="18" max="18" width="12.28515625" hidden="1" customWidth="1"/>
    <col min="19" max="19" width="19.140625" customWidth="1"/>
    <col min="20" max="20" width="19.7109375" customWidth="1"/>
  </cols>
  <sheetData>
    <row r="1" spans="1:28" s="6" customFormat="1" ht="33" hidden="1" x14ac:dyDescent="0.25">
      <c r="A1" s="1"/>
      <c r="B1" s="2"/>
      <c r="C1" s="3"/>
      <c r="D1" s="3"/>
      <c r="E1" s="3"/>
      <c r="F1" s="3"/>
      <c r="G1" s="4"/>
      <c r="H1" s="4"/>
      <c r="I1" s="5"/>
      <c r="J1" s="5"/>
      <c r="K1" s="5"/>
      <c r="L1" s="5"/>
      <c r="M1" s="170" t="s">
        <v>0</v>
      </c>
      <c r="N1" s="170"/>
      <c r="O1" s="170"/>
      <c r="P1" s="170"/>
      <c r="Q1" s="170"/>
      <c r="R1" s="170"/>
      <c r="S1" s="170"/>
      <c r="T1" s="170"/>
      <c r="U1" s="170"/>
    </row>
    <row r="2" spans="1:28" s="6" customFormat="1" ht="33" hidden="1" x14ac:dyDescent="0.25">
      <c r="A2" s="1"/>
      <c r="B2" s="2"/>
      <c r="C2" s="3"/>
      <c r="D2" s="3"/>
      <c r="E2" s="3"/>
      <c r="F2" s="3"/>
      <c r="G2" s="3"/>
      <c r="H2" s="3"/>
      <c r="I2" s="5"/>
      <c r="J2" s="5"/>
      <c r="K2" s="5"/>
      <c r="L2" s="5"/>
      <c r="M2" s="170" t="s">
        <v>1</v>
      </c>
      <c r="N2" s="170"/>
      <c r="O2" s="170"/>
      <c r="P2" s="170"/>
      <c r="Q2" s="170"/>
      <c r="R2" s="170"/>
      <c r="S2" s="170"/>
      <c r="T2" s="170"/>
      <c r="U2" s="170"/>
    </row>
    <row r="3" spans="1:28" s="6" customFormat="1" ht="33" hidden="1" x14ac:dyDescent="0.25">
      <c r="A3" s="1"/>
      <c r="B3" s="2"/>
      <c r="C3" s="3"/>
      <c r="D3" s="3"/>
      <c r="E3" s="3"/>
      <c r="F3" s="3"/>
      <c r="G3" s="3"/>
      <c r="H3" s="3"/>
      <c r="I3" s="5"/>
      <c r="J3" s="5"/>
      <c r="K3" s="5"/>
      <c r="L3" s="5"/>
      <c r="M3" s="170" t="s">
        <v>2</v>
      </c>
      <c r="N3" s="170"/>
      <c r="O3" s="170"/>
      <c r="P3" s="170"/>
      <c r="Q3" s="170"/>
      <c r="R3" s="170"/>
      <c r="S3" s="170"/>
      <c r="T3" s="170"/>
      <c r="U3" s="170"/>
    </row>
    <row r="4" spans="1:28" s="6" customFormat="1" ht="33" hidden="1" x14ac:dyDescent="0.25">
      <c r="A4" s="1"/>
      <c r="B4" s="2"/>
      <c r="C4" s="3"/>
      <c r="D4" s="3"/>
      <c r="E4" s="3"/>
      <c r="F4" s="3"/>
      <c r="G4" s="4"/>
      <c r="H4" s="4"/>
      <c r="I4" s="7"/>
      <c r="J4" s="7"/>
      <c r="K4" s="7"/>
      <c r="L4" s="7"/>
      <c r="M4" s="8"/>
      <c r="N4" s="8"/>
      <c r="O4" s="8"/>
      <c r="P4" s="8"/>
      <c r="Q4" s="8"/>
      <c r="R4" s="8"/>
      <c r="S4" s="8"/>
      <c r="T4" s="8"/>
    </row>
    <row r="5" spans="1:28" s="6" customFormat="1" ht="16.5" hidden="1" x14ac:dyDescent="0.25">
      <c r="A5" s="9"/>
      <c r="B5" s="10"/>
      <c r="C5" s="11"/>
    </row>
    <row r="6" spans="1:28" s="6" customFormat="1" ht="6.75" customHeight="1" x14ac:dyDescent="0.25">
      <c r="A6" s="9"/>
      <c r="B6" s="10"/>
      <c r="C6" s="11"/>
    </row>
    <row r="7" spans="1:28" s="6" customFormat="1" ht="81.75" customHeight="1" x14ac:dyDescent="0.25">
      <c r="A7" s="171" t="s">
        <v>303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</row>
    <row r="8" spans="1:28" s="6" customFormat="1" ht="37.5" x14ac:dyDescent="0.25">
      <c r="A8" s="177" t="s">
        <v>293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39"/>
      <c r="V8" s="39"/>
      <c r="W8" s="39"/>
      <c r="X8" s="39"/>
      <c r="Y8" s="39"/>
      <c r="Z8" s="39"/>
      <c r="AA8" s="39"/>
      <c r="AB8" s="12"/>
    </row>
    <row r="9" spans="1:28" s="6" customFormat="1" ht="0.75" customHeight="1" x14ac:dyDescent="0.5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</row>
    <row r="10" spans="1:28" s="6" customFormat="1" ht="18.75" x14ac:dyDescent="0.3">
      <c r="A10" s="9"/>
      <c r="B10" s="10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28" s="15" customFormat="1" ht="16.5" customHeight="1" x14ac:dyDescent="0.25">
      <c r="A11" s="158" t="s">
        <v>4</v>
      </c>
      <c r="B11" s="159" t="s">
        <v>5</v>
      </c>
      <c r="C11" s="158" t="s">
        <v>6</v>
      </c>
      <c r="D11" s="166" t="s">
        <v>7</v>
      </c>
      <c r="E11" s="166"/>
      <c r="F11" s="174" t="s">
        <v>297</v>
      </c>
      <c r="G11" s="166" t="s">
        <v>8</v>
      </c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</row>
    <row r="12" spans="1:28" s="16" customFormat="1" ht="15.75" customHeight="1" x14ac:dyDescent="0.25">
      <c r="A12" s="158"/>
      <c r="B12" s="159"/>
      <c r="C12" s="158"/>
      <c r="D12" s="166"/>
      <c r="E12" s="166"/>
      <c r="F12" s="175"/>
      <c r="G12" s="165" t="s">
        <v>9</v>
      </c>
      <c r="H12" s="165"/>
      <c r="I12" s="158" t="s">
        <v>10</v>
      </c>
      <c r="J12" s="158"/>
      <c r="K12" s="158"/>
      <c r="L12" s="158"/>
      <c r="M12" s="158"/>
      <c r="N12" s="158"/>
      <c r="O12" s="158"/>
      <c r="P12" s="158"/>
      <c r="Q12" s="158"/>
      <c r="R12" s="158"/>
      <c r="S12" s="165" t="s">
        <v>11</v>
      </c>
      <c r="T12" s="165"/>
    </row>
    <row r="13" spans="1:28" s="17" customFormat="1" ht="48.75" customHeight="1" x14ac:dyDescent="0.25">
      <c r="A13" s="158"/>
      <c r="B13" s="159"/>
      <c r="C13" s="158"/>
      <c r="D13" s="166"/>
      <c r="E13" s="166"/>
      <c r="F13" s="176"/>
      <c r="G13" s="165"/>
      <c r="H13" s="165"/>
      <c r="I13" s="158" t="s">
        <v>12</v>
      </c>
      <c r="J13" s="158"/>
      <c r="K13" s="158" t="s">
        <v>13</v>
      </c>
      <c r="L13" s="158"/>
      <c r="M13" s="158" t="s">
        <v>14</v>
      </c>
      <c r="N13" s="158"/>
      <c r="O13" s="158" t="s">
        <v>15</v>
      </c>
      <c r="P13" s="158"/>
      <c r="Q13" s="158" t="s">
        <v>278</v>
      </c>
      <c r="R13" s="158"/>
      <c r="S13" s="165"/>
      <c r="T13" s="165"/>
    </row>
    <row r="14" spans="1:28" s="17" customFormat="1" ht="28.5" customHeight="1" x14ac:dyDescent="0.25">
      <c r="A14" s="158"/>
      <c r="B14" s="159"/>
      <c r="C14" s="158"/>
      <c r="D14" s="44" t="s">
        <v>295</v>
      </c>
      <c r="E14" s="44" t="s">
        <v>296</v>
      </c>
      <c r="F14" s="87"/>
      <c r="G14" s="45" t="s">
        <v>295</v>
      </c>
      <c r="H14" s="45" t="s">
        <v>296</v>
      </c>
      <c r="I14" s="45" t="s">
        <v>295</v>
      </c>
      <c r="J14" s="45" t="s">
        <v>296</v>
      </c>
      <c r="K14" s="45" t="s">
        <v>295</v>
      </c>
      <c r="L14" s="45" t="s">
        <v>296</v>
      </c>
      <c r="M14" s="45" t="s">
        <v>295</v>
      </c>
      <c r="N14" s="45" t="s">
        <v>296</v>
      </c>
      <c r="O14" s="45" t="s">
        <v>295</v>
      </c>
      <c r="P14" s="45" t="s">
        <v>296</v>
      </c>
      <c r="Q14" s="45" t="s">
        <v>295</v>
      </c>
      <c r="R14" s="45" t="s">
        <v>296</v>
      </c>
      <c r="S14" s="45" t="s">
        <v>295</v>
      </c>
      <c r="T14" s="45" t="s">
        <v>296</v>
      </c>
    </row>
    <row r="15" spans="1:28" s="18" customFormat="1" ht="20.25" x14ac:dyDescent="0.25">
      <c r="A15" s="168" t="s">
        <v>16</v>
      </c>
      <c r="B15" s="168"/>
      <c r="C15" s="46"/>
      <c r="D15" s="34">
        <f>SUM(D16+D20+D26+D27+D28+D29+D30)</f>
        <v>1555276.02</v>
      </c>
      <c r="E15" s="34">
        <f t="shared" ref="E15:T15" si="0">SUM(E16+E20+E26+E27+E28+E29+E30)</f>
        <v>1555276.02</v>
      </c>
      <c r="F15" s="34"/>
      <c r="G15" s="34">
        <f t="shared" si="0"/>
        <v>0</v>
      </c>
      <c r="H15" s="34">
        <f t="shared" si="0"/>
        <v>0</v>
      </c>
      <c r="I15" s="34">
        <f t="shared" si="0"/>
        <v>0</v>
      </c>
      <c r="J15" s="34">
        <f t="shared" si="0"/>
        <v>0</v>
      </c>
      <c r="K15" s="34">
        <f t="shared" si="0"/>
        <v>0</v>
      </c>
      <c r="L15" s="34">
        <f t="shared" si="0"/>
        <v>0</v>
      </c>
      <c r="M15" s="34">
        <f t="shared" si="0"/>
        <v>0</v>
      </c>
      <c r="N15" s="34">
        <f t="shared" si="0"/>
        <v>0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0</v>
      </c>
      <c r="S15" s="34">
        <f t="shared" si="0"/>
        <v>1555276.02</v>
      </c>
      <c r="T15" s="34">
        <f t="shared" si="0"/>
        <v>1555276.02</v>
      </c>
    </row>
    <row r="16" spans="1:28" s="18" customFormat="1" ht="17.25" x14ac:dyDescent="0.25">
      <c r="A16" s="47" t="s">
        <v>17</v>
      </c>
      <c r="B16" s="48" t="s">
        <v>18</v>
      </c>
      <c r="C16" s="49"/>
      <c r="D16" s="34">
        <f>SUM(G16:S16)</f>
        <v>0</v>
      </c>
      <c r="E16" s="34">
        <f>SUM(H16:T16)</f>
        <v>0</v>
      </c>
      <c r="F16" s="34"/>
      <c r="G16" s="34">
        <f t="shared" ref="G16:T16" si="1">SUM(I16:U16)</f>
        <v>0</v>
      </c>
      <c r="H16" s="34">
        <f t="shared" si="1"/>
        <v>0</v>
      </c>
      <c r="I16" s="34">
        <f t="shared" si="1"/>
        <v>0</v>
      </c>
      <c r="J16" s="34">
        <f t="shared" si="1"/>
        <v>0</v>
      </c>
      <c r="K16" s="34">
        <f t="shared" si="1"/>
        <v>0</v>
      </c>
      <c r="L16" s="34">
        <f t="shared" si="1"/>
        <v>0</v>
      </c>
      <c r="M16" s="34">
        <f t="shared" si="1"/>
        <v>0</v>
      </c>
      <c r="N16" s="34">
        <f t="shared" si="1"/>
        <v>0</v>
      </c>
      <c r="O16" s="34">
        <f t="shared" si="1"/>
        <v>0</v>
      </c>
      <c r="P16" s="34">
        <f t="shared" si="1"/>
        <v>0</v>
      </c>
      <c r="Q16" s="34">
        <f t="shared" si="1"/>
        <v>0</v>
      </c>
      <c r="R16" s="34">
        <f t="shared" si="1"/>
        <v>0</v>
      </c>
      <c r="S16" s="34">
        <f t="shared" si="1"/>
        <v>0</v>
      </c>
      <c r="T16" s="34">
        <f t="shared" si="1"/>
        <v>0</v>
      </c>
    </row>
    <row r="17" spans="1:20" s="6" customFormat="1" ht="16.5" x14ac:dyDescent="0.25">
      <c r="A17" s="50" t="s">
        <v>19</v>
      </c>
      <c r="B17" s="28" t="s">
        <v>20</v>
      </c>
      <c r="C17" s="51"/>
      <c r="D17" s="33">
        <f>SUM(G17+I17+K17+M17+O17+Q17+S17)</f>
        <v>0</v>
      </c>
      <c r="E17" s="33">
        <f>SUM(H17+J17+L17+N17+P17+R17+T17)</f>
        <v>0</v>
      </c>
      <c r="F17" s="33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1:20" s="6" customFormat="1" ht="16.5" x14ac:dyDescent="0.25">
      <c r="A18" s="50" t="s">
        <v>21</v>
      </c>
      <c r="B18" s="28" t="s">
        <v>22</v>
      </c>
      <c r="C18" s="51"/>
      <c r="D18" s="33">
        <f t="shared" ref="D18" si="2">SUM(G18+I18+K18+M18+O18+Q18+S18)</f>
        <v>0</v>
      </c>
      <c r="E18" s="33">
        <f t="shared" ref="E18" si="3">SUM(H18+J18+L18+N18+P18+R18+T18)</f>
        <v>0</v>
      </c>
      <c r="F18" s="33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s="6" customFormat="1" ht="16.5" hidden="1" x14ac:dyDescent="0.25">
      <c r="A19" s="52"/>
      <c r="B19" s="28"/>
      <c r="C19" s="51"/>
      <c r="D19" s="33">
        <f t="shared" ref="D19:D81" si="4">SUM(G19+I19+K19+M19+O19+Q19+S19)</f>
        <v>0</v>
      </c>
      <c r="E19" s="33">
        <f t="shared" ref="E19:E81" si="5">SUM(H19+J19+L19+N19+P19+R19+T19)</f>
        <v>0</v>
      </c>
      <c r="F19" s="33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s="20" customFormat="1" ht="17.25" x14ac:dyDescent="0.25">
      <c r="A20" s="53" t="s">
        <v>25</v>
      </c>
      <c r="B20" s="48" t="s">
        <v>26</v>
      </c>
      <c r="C20" s="54"/>
      <c r="D20" s="25">
        <f t="shared" ref="D20:Q20" si="6">SUM(D21:D25)</f>
        <v>0</v>
      </c>
      <c r="E20" s="25">
        <f t="shared" si="6"/>
        <v>0</v>
      </c>
      <c r="F20" s="25"/>
      <c r="G20" s="25">
        <f t="shared" si="6"/>
        <v>0</v>
      </c>
      <c r="H20" s="25"/>
      <c r="I20" s="25">
        <f t="shared" si="6"/>
        <v>0</v>
      </c>
      <c r="J20" s="25"/>
      <c r="K20" s="25">
        <f t="shared" si="6"/>
        <v>0</v>
      </c>
      <c r="L20" s="25"/>
      <c r="M20" s="25">
        <f t="shared" si="6"/>
        <v>0</v>
      </c>
      <c r="N20" s="25"/>
      <c r="O20" s="25">
        <f t="shared" si="6"/>
        <v>0</v>
      </c>
      <c r="P20" s="25"/>
      <c r="Q20" s="25">
        <f t="shared" si="6"/>
        <v>0</v>
      </c>
      <c r="R20" s="25"/>
      <c r="S20" s="25"/>
      <c r="T20" s="25"/>
    </row>
    <row r="21" spans="1:20" s="22" customFormat="1" ht="33" hidden="1" x14ac:dyDescent="0.25">
      <c r="A21" s="50" t="s">
        <v>27</v>
      </c>
      <c r="B21" s="28" t="s">
        <v>28</v>
      </c>
      <c r="C21" s="55"/>
      <c r="D21" s="33">
        <f t="shared" si="4"/>
        <v>0</v>
      </c>
      <c r="E21" s="33">
        <f t="shared" si="5"/>
        <v>0</v>
      </c>
      <c r="F21" s="33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38"/>
      <c r="R21" s="38"/>
      <c r="S21" s="21"/>
      <c r="T21" s="21"/>
    </row>
    <row r="22" spans="1:20" s="22" customFormat="1" ht="33" hidden="1" x14ac:dyDescent="0.25">
      <c r="A22" s="50" t="s">
        <v>29</v>
      </c>
      <c r="B22" s="28" t="s">
        <v>30</v>
      </c>
      <c r="C22" s="55"/>
      <c r="D22" s="33">
        <f t="shared" si="4"/>
        <v>0</v>
      </c>
      <c r="E22" s="33">
        <f t="shared" si="5"/>
        <v>0</v>
      </c>
      <c r="F22" s="3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20" s="22" customFormat="1" ht="48" hidden="1" x14ac:dyDescent="0.25">
      <c r="A23" s="50" t="s">
        <v>31</v>
      </c>
      <c r="B23" s="28" t="s">
        <v>32</v>
      </c>
      <c r="C23" s="55"/>
      <c r="D23" s="33">
        <f t="shared" si="4"/>
        <v>0</v>
      </c>
      <c r="E23" s="33">
        <f t="shared" si="5"/>
        <v>0</v>
      </c>
      <c r="F23" s="33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1:20" s="22" customFormat="1" ht="33" hidden="1" x14ac:dyDescent="0.25">
      <c r="A24" s="50" t="s">
        <v>33</v>
      </c>
      <c r="B24" s="28" t="s">
        <v>34</v>
      </c>
      <c r="C24" s="55"/>
      <c r="D24" s="33">
        <f t="shared" si="4"/>
        <v>0</v>
      </c>
      <c r="E24" s="33">
        <f t="shared" si="5"/>
        <v>0</v>
      </c>
      <c r="F24" s="33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 spans="1:20" s="22" customFormat="1" ht="33" hidden="1" x14ac:dyDescent="0.25">
      <c r="A25" s="50" t="s">
        <v>35</v>
      </c>
      <c r="B25" s="28" t="s">
        <v>36</v>
      </c>
      <c r="C25" s="55"/>
      <c r="D25" s="33">
        <f t="shared" si="4"/>
        <v>0</v>
      </c>
      <c r="E25" s="33">
        <f t="shared" si="5"/>
        <v>0</v>
      </c>
      <c r="F25" s="33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1:20" s="24" customFormat="1" ht="17.25" x14ac:dyDescent="0.25">
      <c r="A26" s="56">
        <v>3</v>
      </c>
      <c r="B26" s="48" t="s">
        <v>37</v>
      </c>
      <c r="C26" s="54"/>
      <c r="D26" s="33">
        <f t="shared" si="4"/>
        <v>0</v>
      </c>
      <c r="E26" s="33">
        <f t="shared" si="5"/>
        <v>0</v>
      </c>
      <c r="F26" s="3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0" s="20" customFormat="1" ht="17.25" x14ac:dyDescent="0.25">
      <c r="A27" s="53">
        <v>4</v>
      </c>
      <c r="B27" s="48" t="s">
        <v>38</v>
      </c>
      <c r="C27" s="54"/>
      <c r="D27" s="33">
        <f t="shared" si="4"/>
        <v>387137.09</v>
      </c>
      <c r="E27" s="33">
        <f t="shared" si="5"/>
        <v>387137.09</v>
      </c>
      <c r="F27" s="33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>
        <v>387137.09</v>
      </c>
      <c r="T27" s="25">
        <v>387137.09</v>
      </c>
    </row>
    <row r="28" spans="1:20" s="20" customFormat="1" ht="17.25" x14ac:dyDescent="0.25">
      <c r="A28" s="53">
        <v>5</v>
      </c>
      <c r="B28" s="48" t="s">
        <v>39</v>
      </c>
      <c r="C28" s="54"/>
      <c r="D28" s="33">
        <f t="shared" si="4"/>
        <v>0</v>
      </c>
      <c r="E28" s="33">
        <f t="shared" si="5"/>
        <v>0</v>
      </c>
      <c r="F28" s="33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>
        <v>0</v>
      </c>
      <c r="T28" s="25">
        <v>0</v>
      </c>
    </row>
    <row r="29" spans="1:20" s="20" customFormat="1" ht="17.25" x14ac:dyDescent="0.25">
      <c r="A29" s="53">
        <v>6</v>
      </c>
      <c r="B29" s="48" t="s">
        <v>40</v>
      </c>
      <c r="C29" s="54"/>
      <c r="D29" s="33">
        <f t="shared" si="4"/>
        <v>0</v>
      </c>
      <c r="E29" s="33">
        <f t="shared" si="5"/>
        <v>0</v>
      </c>
      <c r="F29" s="33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>
        <v>0</v>
      </c>
      <c r="T29" s="25">
        <v>0</v>
      </c>
    </row>
    <row r="30" spans="1:20" s="20" customFormat="1" ht="17.25" x14ac:dyDescent="0.25">
      <c r="A30" s="53">
        <v>7</v>
      </c>
      <c r="B30" s="48" t="s">
        <v>41</v>
      </c>
      <c r="C30" s="54"/>
      <c r="D30" s="33">
        <f t="shared" si="4"/>
        <v>1168138.93</v>
      </c>
      <c r="E30" s="33">
        <f t="shared" si="5"/>
        <v>1168138.93</v>
      </c>
      <c r="F30" s="33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>
        <v>1168138.93</v>
      </c>
      <c r="T30" s="25">
        <v>1168138.93</v>
      </c>
    </row>
    <row r="31" spans="1:20" s="20" customFormat="1" ht="20.25" x14ac:dyDescent="0.25">
      <c r="A31" s="163" t="s">
        <v>42</v>
      </c>
      <c r="B31" s="163"/>
      <c r="C31" s="25"/>
      <c r="D31" s="25">
        <f t="shared" ref="D31:L31" si="7">SUM(D32+D36+D42+D43+D44+D45+D46)</f>
        <v>455468679.40000004</v>
      </c>
      <c r="E31" s="25">
        <f t="shared" si="7"/>
        <v>137341274.16999999</v>
      </c>
      <c r="F31" s="91">
        <f t="shared" ref="F31:F94" si="8">SUM(E31/D31*100)</f>
        <v>30.153835023502161</v>
      </c>
      <c r="G31" s="25">
        <f t="shared" si="7"/>
        <v>415173679.40000004</v>
      </c>
      <c r="H31" s="25">
        <f t="shared" si="7"/>
        <v>121073295</v>
      </c>
      <c r="I31" s="25">
        <f t="shared" si="7"/>
        <v>0</v>
      </c>
      <c r="J31" s="25">
        <f t="shared" si="7"/>
        <v>0</v>
      </c>
      <c r="K31" s="25">
        <f t="shared" si="7"/>
        <v>0</v>
      </c>
      <c r="L31" s="25">
        <f t="shared" si="7"/>
        <v>0</v>
      </c>
      <c r="M31" s="25">
        <f t="shared" ref="M31:T31" si="9">SUM(M32+M36+M42+M43+M44+M45+M46)</f>
        <v>265000</v>
      </c>
      <c r="N31" s="25">
        <f t="shared" si="9"/>
        <v>112500</v>
      </c>
      <c r="O31" s="25">
        <f t="shared" si="9"/>
        <v>0</v>
      </c>
      <c r="P31" s="25">
        <f t="shared" si="9"/>
        <v>0</v>
      </c>
      <c r="Q31" s="25">
        <f t="shared" si="9"/>
        <v>0</v>
      </c>
      <c r="R31" s="25">
        <f t="shared" si="9"/>
        <v>0</v>
      </c>
      <c r="S31" s="25">
        <f t="shared" si="9"/>
        <v>40030000</v>
      </c>
      <c r="T31" s="25">
        <f t="shared" si="9"/>
        <v>16155479.17</v>
      </c>
    </row>
    <row r="32" spans="1:20" s="24" customFormat="1" ht="17.25" x14ac:dyDescent="0.25">
      <c r="A32" s="56" t="s">
        <v>17</v>
      </c>
      <c r="B32" s="48" t="s">
        <v>18</v>
      </c>
      <c r="C32" s="54"/>
      <c r="D32" s="25">
        <f t="shared" ref="D32:N32" si="10">SUM(D33:D35)</f>
        <v>404599309.97000003</v>
      </c>
      <c r="E32" s="25">
        <f t="shared" si="10"/>
        <v>119169598</v>
      </c>
      <c r="F32" s="91">
        <f t="shared" si="8"/>
        <v>29.453732387441818</v>
      </c>
      <c r="G32" s="78">
        <f t="shared" si="10"/>
        <v>404334309.97000003</v>
      </c>
      <c r="H32" s="78">
        <f t="shared" si="10"/>
        <v>119057098</v>
      </c>
      <c r="I32" s="78">
        <f t="shared" si="10"/>
        <v>0</v>
      </c>
      <c r="J32" s="78">
        <f t="shared" si="10"/>
        <v>0</v>
      </c>
      <c r="K32" s="78">
        <f t="shared" si="10"/>
        <v>0</v>
      </c>
      <c r="L32" s="78">
        <f t="shared" si="10"/>
        <v>0</v>
      </c>
      <c r="M32" s="78">
        <f t="shared" si="10"/>
        <v>265000</v>
      </c>
      <c r="N32" s="78">
        <f t="shared" si="10"/>
        <v>112500</v>
      </c>
      <c r="O32" s="25">
        <f>SUM(O33:O35)</f>
        <v>0</v>
      </c>
      <c r="P32" s="25">
        <f t="shared" ref="P32:T32" si="11">SUM(P33:P35)</f>
        <v>0</v>
      </c>
      <c r="Q32" s="25">
        <f t="shared" si="11"/>
        <v>0</v>
      </c>
      <c r="R32" s="25">
        <f t="shared" si="11"/>
        <v>0</v>
      </c>
      <c r="S32" s="25">
        <f t="shared" si="11"/>
        <v>0</v>
      </c>
      <c r="T32" s="25">
        <f t="shared" si="11"/>
        <v>0</v>
      </c>
    </row>
    <row r="33" spans="1:43" s="22" customFormat="1" ht="16.5" x14ac:dyDescent="0.25">
      <c r="A33" s="50" t="s">
        <v>19</v>
      </c>
      <c r="B33" s="28" t="s">
        <v>20</v>
      </c>
      <c r="C33" s="55"/>
      <c r="D33" s="33">
        <f t="shared" si="4"/>
        <v>403045439.97000003</v>
      </c>
      <c r="E33" s="33">
        <f t="shared" si="5"/>
        <v>118511488</v>
      </c>
      <c r="F33" s="91">
        <f t="shared" si="8"/>
        <v>29.404001694900998</v>
      </c>
      <c r="G33" s="38">
        <v>402780439.97000003</v>
      </c>
      <c r="H33" s="38">
        <f>119045698+11400-H34</f>
        <v>118398988</v>
      </c>
      <c r="I33" s="38"/>
      <c r="J33" s="38"/>
      <c r="K33" s="21"/>
      <c r="L33" s="21"/>
      <c r="M33" s="38">
        <v>265000</v>
      </c>
      <c r="N33" s="38">
        <v>112500</v>
      </c>
      <c r="O33" s="38"/>
      <c r="P33" s="38"/>
      <c r="Q33" s="21"/>
      <c r="R33" s="21"/>
      <c r="S33" s="21"/>
      <c r="T33" s="21"/>
    </row>
    <row r="34" spans="1:43" s="22" customFormat="1" ht="16.5" x14ac:dyDescent="0.25">
      <c r="A34" s="50" t="s">
        <v>21</v>
      </c>
      <c r="B34" s="28" t="s">
        <v>22</v>
      </c>
      <c r="C34" s="55"/>
      <c r="D34" s="33">
        <f t="shared" si="4"/>
        <v>1553870</v>
      </c>
      <c r="E34" s="33">
        <f t="shared" si="5"/>
        <v>658110</v>
      </c>
      <c r="F34" s="91">
        <f t="shared" si="8"/>
        <v>42.352963890158122</v>
      </c>
      <c r="G34" s="38">
        <v>1553870</v>
      </c>
      <c r="H34" s="38">
        <v>658110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 spans="1:43" s="22" customFormat="1" ht="16.5" hidden="1" x14ac:dyDescent="0.25">
      <c r="A35" s="52"/>
      <c r="B35" s="28"/>
      <c r="C35" s="55"/>
      <c r="D35" s="33">
        <f t="shared" si="4"/>
        <v>0</v>
      </c>
      <c r="E35" s="33">
        <f t="shared" si="5"/>
        <v>0</v>
      </c>
      <c r="F35" s="91"/>
      <c r="G35" s="38"/>
      <c r="H35" s="38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1:43" s="24" customFormat="1" ht="17.25" x14ac:dyDescent="0.25">
      <c r="A36" s="56" t="s">
        <v>25</v>
      </c>
      <c r="B36" s="48" t="s">
        <v>26</v>
      </c>
      <c r="C36" s="54"/>
      <c r="D36" s="25">
        <f t="shared" ref="D36:N36" si="12">SUM(D37:D41)</f>
        <v>10839369.43</v>
      </c>
      <c r="E36" s="25">
        <f t="shared" si="12"/>
        <v>2016197</v>
      </c>
      <c r="F36" s="91">
        <f t="shared" si="8"/>
        <v>18.600685335253861</v>
      </c>
      <c r="G36" s="25">
        <f t="shared" si="12"/>
        <v>10839369.43</v>
      </c>
      <c r="H36" s="25">
        <f t="shared" si="12"/>
        <v>2016197</v>
      </c>
      <c r="I36" s="25">
        <f t="shared" si="12"/>
        <v>0</v>
      </c>
      <c r="J36" s="25">
        <f t="shared" si="12"/>
        <v>0</v>
      </c>
      <c r="K36" s="25">
        <f t="shared" si="12"/>
        <v>0</v>
      </c>
      <c r="L36" s="25">
        <f t="shared" si="12"/>
        <v>0</v>
      </c>
      <c r="M36" s="25">
        <f t="shared" si="12"/>
        <v>0</v>
      </c>
      <c r="N36" s="25">
        <f t="shared" si="12"/>
        <v>0</v>
      </c>
      <c r="O36" s="25">
        <f>SUM(O37:O41)</f>
        <v>0</v>
      </c>
      <c r="P36" s="25">
        <f t="shared" ref="P36:T36" si="13">SUM(P37:P41)</f>
        <v>0</v>
      </c>
      <c r="Q36" s="25">
        <f t="shared" si="13"/>
        <v>0</v>
      </c>
      <c r="R36" s="25">
        <f t="shared" si="13"/>
        <v>0</v>
      </c>
      <c r="S36" s="25">
        <f t="shared" si="13"/>
        <v>0</v>
      </c>
      <c r="T36" s="25">
        <f t="shared" si="13"/>
        <v>0</v>
      </c>
    </row>
    <row r="37" spans="1:43" s="22" customFormat="1" ht="33" x14ac:dyDescent="0.25">
      <c r="A37" s="50" t="s">
        <v>27</v>
      </c>
      <c r="B37" s="28" t="s">
        <v>43</v>
      </c>
      <c r="C37" s="55"/>
      <c r="D37" s="33">
        <f t="shared" si="4"/>
        <v>8679169.4299999997</v>
      </c>
      <c r="E37" s="33">
        <f t="shared" si="5"/>
        <v>1684197</v>
      </c>
      <c r="F37" s="91">
        <f t="shared" si="8"/>
        <v>19.405048070365876</v>
      </c>
      <c r="G37" s="38">
        <f>6430588+1255000+993581.43</f>
        <v>8679169.4299999997</v>
      </c>
      <c r="H37" s="38">
        <f>1214197+470000</f>
        <v>1684197</v>
      </c>
      <c r="I37" s="21"/>
      <c r="J37" s="21"/>
      <c r="K37" s="21"/>
      <c r="L37" s="21"/>
      <c r="M37" s="38"/>
      <c r="N37" s="38"/>
      <c r="O37" s="21"/>
      <c r="P37" s="21"/>
      <c r="Q37" s="21"/>
      <c r="R37" s="21"/>
      <c r="S37" s="21"/>
      <c r="T37" s="21"/>
    </row>
    <row r="38" spans="1:43" s="22" customFormat="1" ht="33" x14ac:dyDescent="0.25">
      <c r="A38" s="50" t="s">
        <v>29</v>
      </c>
      <c r="B38" s="28" t="s">
        <v>44</v>
      </c>
      <c r="C38" s="55"/>
      <c r="D38" s="33">
        <f>SUM(G38+I38+K38+M38+O38+Q38+S38)</f>
        <v>450000</v>
      </c>
      <c r="E38" s="33">
        <f t="shared" si="5"/>
        <v>0</v>
      </c>
      <c r="F38" s="91">
        <f t="shared" si="8"/>
        <v>0</v>
      </c>
      <c r="G38" s="38">
        <v>450000</v>
      </c>
      <c r="H38" s="38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1:43" s="22" customFormat="1" ht="48" x14ac:dyDescent="0.25">
      <c r="A39" s="50" t="s">
        <v>31</v>
      </c>
      <c r="B39" s="28" t="s">
        <v>32</v>
      </c>
      <c r="C39" s="55"/>
      <c r="D39" s="33">
        <f t="shared" ref="D39:D59" si="14">SUM(G39+I39+K39+M39+O39+Q39+S39)</f>
        <v>250000</v>
      </c>
      <c r="E39" s="33">
        <f t="shared" ref="E39:E59" si="15">SUM(H39+J39+L39+N39+P39+R39+T39)</f>
        <v>0</v>
      </c>
      <c r="F39" s="91">
        <f t="shared" si="8"/>
        <v>0</v>
      </c>
      <c r="G39" s="38">
        <v>250000</v>
      </c>
      <c r="H39" s="38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pans="1:43" s="22" customFormat="1" ht="33" x14ac:dyDescent="0.25">
      <c r="A40" s="50" t="s">
        <v>33</v>
      </c>
      <c r="B40" s="28" t="s">
        <v>34</v>
      </c>
      <c r="C40" s="55"/>
      <c r="D40" s="33">
        <f t="shared" si="14"/>
        <v>0</v>
      </c>
      <c r="E40" s="33">
        <f t="shared" si="15"/>
        <v>0</v>
      </c>
      <c r="F40" s="91"/>
      <c r="G40" s="38">
        <v>0</v>
      </c>
      <c r="H40" s="38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1:43" s="22" customFormat="1" ht="33" x14ac:dyDescent="0.25">
      <c r="A41" s="50" t="s">
        <v>35</v>
      </c>
      <c r="B41" s="28" t="s">
        <v>36</v>
      </c>
      <c r="C41" s="55"/>
      <c r="D41" s="33">
        <f t="shared" si="14"/>
        <v>1460200</v>
      </c>
      <c r="E41" s="33">
        <f t="shared" si="15"/>
        <v>332000</v>
      </c>
      <c r="F41" s="91">
        <f t="shared" si="8"/>
        <v>22.736611423092725</v>
      </c>
      <c r="G41" s="38">
        <v>1460200</v>
      </c>
      <c r="H41" s="38">
        <v>332000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1:43" s="20" customFormat="1" ht="17.25" x14ac:dyDescent="0.25">
      <c r="A42" s="53">
        <v>3</v>
      </c>
      <c r="B42" s="48" t="s">
        <v>37</v>
      </c>
      <c r="C42" s="54"/>
      <c r="D42" s="42">
        <f t="shared" si="14"/>
        <v>0</v>
      </c>
      <c r="E42" s="42">
        <f t="shared" si="15"/>
        <v>0</v>
      </c>
      <c r="F42" s="9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43" s="20" customFormat="1" ht="17.25" x14ac:dyDescent="0.25">
      <c r="A43" s="53">
        <v>4</v>
      </c>
      <c r="B43" s="48" t="s">
        <v>38</v>
      </c>
      <c r="C43" s="54"/>
      <c r="D43" s="42">
        <f t="shared" si="14"/>
        <v>27000000</v>
      </c>
      <c r="E43" s="42">
        <f t="shared" si="15"/>
        <v>11299451.18</v>
      </c>
      <c r="F43" s="91">
        <f t="shared" si="8"/>
        <v>41.849819185185183</v>
      </c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>
        <v>27000000</v>
      </c>
      <c r="T43" s="25">
        <v>11299451.18</v>
      </c>
    </row>
    <row r="44" spans="1:43" s="20" customFormat="1" ht="17.25" x14ac:dyDescent="0.25">
      <c r="A44" s="53">
        <v>5</v>
      </c>
      <c r="B44" s="48" t="s">
        <v>39</v>
      </c>
      <c r="C44" s="54"/>
      <c r="D44" s="42">
        <f t="shared" si="14"/>
        <v>330000</v>
      </c>
      <c r="E44" s="42">
        <f t="shared" si="15"/>
        <v>149476.82</v>
      </c>
      <c r="F44" s="91">
        <f t="shared" si="8"/>
        <v>45.296006060606061</v>
      </c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>
        <v>330000</v>
      </c>
      <c r="T44" s="25">
        <v>149476.82</v>
      </c>
    </row>
    <row r="45" spans="1:43" s="20" customFormat="1" ht="17.25" x14ac:dyDescent="0.25">
      <c r="A45" s="53">
        <v>6</v>
      </c>
      <c r="B45" s="48" t="s">
        <v>40</v>
      </c>
      <c r="C45" s="54"/>
      <c r="D45" s="42">
        <f t="shared" si="14"/>
        <v>0</v>
      </c>
      <c r="E45" s="42">
        <f t="shared" si="15"/>
        <v>0</v>
      </c>
      <c r="F45" s="91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>
        <v>0</v>
      </c>
      <c r="T45" s="25"/>
    </row>
    <row r="46" spans="1:43" s="20" customFormat="1" ht="17.25" x14ac:dyDescent="0.25">
      <c r="A46" s="53">
        <v>7</v>
      </c>
      <c r="B46" s="48" t="s">
        <v>41</v>
      </c>
      <c r="C46" s="54"/>
      <c r="D46" s="42">
        <f t="shared" si="14"/>
        <v>12700000</v>
      </c>
      <c r="E46" s="42">
        <f t="shared" si="15"/>
        <v>4706551.17</v>
      </c>
      <c r="F46" s="91">
        <f t="shared" si="8"/>
        <v>37.059458031496064</v>
      </c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>
        <v>12700000</v>
      </c>
      <c r="T46" s="25">
        <v>4706551.17</v>
      </c>
    </row>
    <row r="47" spans="1:43" s="20" customFormat="1" ht="20.25" x14ac:dyDescent="0.25">
      <c r="A47" s="163" t="s">
        <v>45</v>
      </c>
      <c r="B47" s="163"/>
      <c r="C47" s="57"/>
      <c r="D47" s="42">
        <f t="shared" si="14"/>
        <v>457023955.41999996</v>
      </c>
      <c r="E47" s="42">
        <f>SUM(H47+J47+L47+N47+P47+R47+T47)</f>
        <v>136316817.44999999</v>
      </c>
      <c r="F47" s="91">
        <f t="shared" si="8"/>
        <v>29.827061761943384</v>
      </c>
      <c r="G47" s="25">
        <f t="shared" ref="G47:L47" si="16">SUM(G48+G84+G186+G187+G206+G223+G241)</f>
        <v>415173679.39999998</v>
      </c>
      <c r="H47" s="25">
        <f t="shared" si="16"/>
        <v>120662048.28</v>
      </c>
      <c r="I47" s="25">
        <f t="shared" si="16"/>
        <v>0</v>
      </c>
      <c r="J47" s="25">
        <f t="shared" si="16"/>
        <v>0</v>
      </c>
      <c r="K47" s="25">
        <f t="shared" si="16"/>
        <v>0</v>
      </c>
      <c r="L47" s="25">
        <f t="shared" si="16"/>
        <v>0</v>
      </c>
      <c r="M47" s="25">
        <f t="shared" ref="M47" si="17">SUM(M48+M84+M186+M187+M206+M223+M241)</f>
        <v>265000</v>
      </c>
      <c r="N47" s="25">
        <f t="shared" ref="N47:T47" si="18">SUM(N48+N84+N186+N187+N206+N223+N241)</f>
        <v>112500</v>
      </c>
      <c r="O47" s="25">
        <f t="shared" si="18"/>
        <v>0</v>
      </c>
      <c r="P47" s="25">
        <f t="shared" si="18"/>
        <v>0</v>
      </c>
      <c r="Q47" s="25">
        <f t="shared" si="18"/>
        <v>0</v>
      </c>
      <c r="R47" s="25">
        <f t="shared" si="18"/>
        <v>0</v>
      </c>
      <c r="S47" s="25">
        <f t="shared" si="18"/>
        <v>41585276.019999996</v>
      </c>
      <c r="T47" s="25">
        <f t="shared" si="18"/>
        <v>15542269.17</v>
      </c>
    </row>
    <row r="48" spans="1:43" s="20" customFormat="1" ht="17.25" x14ac:dyDescent="0.25">
      <c r="A48" s="53">
        <v>1</v>
      </c>
      <c r="B48" s="48" t="s">
        <v>18</v>
      </c>
      <c r="C48" s="54"/>
      <c r="D48" s="42">
        <f t="shared" si="14"/>
        <v>404599309.96999997</v>
      </c>
      <c r="E48" s="42">
        <f t="shared" si="15"/>
        <v>118860413.48</v>
      </c>
      <c r="F48" s="91">
        <f t="shared" si="8"/>
        <v>29.377314926417746</v>
      </c>
      <c r="G48" s="25">
        <f t="shared" ref="G48:L48" si="19">SUM(G49+G78+G82)</f>
        <v>404334309.96999997</v>
      </c>
      <c r="H48" s="25">
        <f t="shared" si="19"/>
        <v>118747913.48</v>
      </c>
      <c r="I48" s="25">
        <f t="shared" si="19"/>
        <v>0</v>
      </c>
      <c r="J48" s="25">
        <f t="shared" si="19"/>
        <v>0</v>
      </c>
      <c r="K48" s="25">
        <f t="shared" si="19"/>
        <v>0</v>
      </c>
      <c r="L48" s="25">
        <f t="shared" si="19"/>
        <v>0</v>
      </c>
      <c r="M48" s="25">
        <f t="shared" ref="M48" si="20">SUM(M49+M78+M82)</f>
        <v>265000</v>
      </c>
      <c r="N48" s="25">
        <f t="shared" ref="N48:T48" si="21">SUM(N49+N78+N82)</f>
        <v>112500</v>
      </c>
      <c r="O48" s="25">
        <f t="shared" si="21"/>
        <v>0</v>
      </c>
      <c r="P48" s="25">
        <f t="shared" si="21"/>
        <v>0</v>
      </c>
      <c r="Q48" s="25">
        <f t="shared" si="21"/>
        <v>0</v>
      </c>
      <c r="R48" s="25">
        <f t="shared" si="21"/>
        <v>0</v>
      </c>
      <c r="S48" s="25">
        <f t="shared" si="21"/>
        <v>0</v>
      </c>
      <c r="T48" s="25">
        <f t="shared" si="21"/>
        <v>0</v>
      </c>
      <c r="AQ48" s="20">
        <v>173284000</v>
      </c>
    </row>
    <row r="49" spans="1:20" s="20" customFormat="1" ht="17.25" x14ac:dyDescent="0.25">
      <c r="A49" s="53" t="s">
        <v>19</v>
      </c>
      <c r="B49" s="48" t="s">
        <v>20</v>
      </c>
      <c r="C49" s="54"/>
      <c r="D49" s="42">
        <f t="shared" si="14"/>
        <v>403045439.96999997</v>
      </c>
      <c r="E49" s="42">
        <f t="shared" si="15"/>
        <v>118351383.48</v>
      </c>
      <c r="F49" s="91">
        <f t="shared" si="8"/>
        <v>29.364278005182072</v>
      </c>
      <c r="G49" s="25">
        <f t="shared" ref="G49:L49" si="22">SUM(G50+G51+G52+G53+G54+G55+G59+G60+G61+G64+G65+G68)+G72</f>
        <v>402780439.96999997</v>
      </c>
      <c r="H49" s="25">
        <f t="shared" si="22"/>
        <v>118238883.48</v>
      </c>
      <c r="I49" s="25">
        <f t="shared" si="22"/>
        <v>0</v>
      </c>
      <c r="J49" s="25">
        <f t="shared" si="22"/>
        <v>0</v>
      </c>
      <c r="K49" s="25">
        <f t="shared" si="22"/>
        <v>0</v>
      </c>
      <c r="L49" s="25">
        <f t="shared" si="22"/>
        <v>0</v>
      </c>
      <c r="M49" s="25">
        <f t="shared" ref="M49" si="23">SUM(M50+M51+M52+M53+M54+M55+M59+M60+M61+M64+M65+M68)+M72</f>
        <v>265000</v>
      </c>
      <c r="N49" s="25">
        <f t="shared" ref="N49:T49" si="24">SUM(N50+N51+N52+N53+N54+N55+N59+N60+N61+N64+N65+N68)+N72</f>
        <v>112500</v>
      </c>
      <c r="O49" s="25">
        <f t="shared" si="24"/>
        <v>0</v>
      </c>
      <c r="P49" s="25">
        <f t="shared" si="24"/>
        <v>0</v>
      </c>
      <c r="Q49" s="25">
        <f t="shared" si="24"/>
        <v>0</v>
      </c>
      <c r="R49" s="25">
        <f t="shared" si="24"/>
        <v>0</v>
      </c>
      <c r="S49" s="25">
        <f t="shared" si="24"/>
        <v>0</v>
      </c>
      <c r="T49" s="25">
        <f t="shared" si="24"/>
        <v>0</v>
      </c>
    </row>
    <row r="50" spans="1:20" s="22" customFormat="1" ht="16.5" x14ac:dyDescent="0.25">
      <c r="A50" s="50" t="s">
        <v>46</v>
      </c>
      <c r="B50" s="28" t="s">
        <v>47</v>
      </c>
      <c r="C50" s="55">
        <v>211</v>
      </c>
      <c r="D50" s="33">
        <f t="shared" si="14"/>
        <v>289032565</v>
      </c>
      <c r="E50" s="33">
        <f t="shared" si="15"/>
        <v>85163903.609999999</v>
      </c>
      <c r="F50" s="91">
        <f t="shared" si="8"/>
        <v>29.465158574778588</v>
      </c>
      <c r="G50" s="38">
        <v>289032565</v>
      </c>
      <c r="H50" s="82">
        <v>85163903.609999999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</row>
    <row r="51" spans="1:20" s="22" customFormat="1" ht="16.5" x14ac:dyDescent="0.25">
      <c r="A51" s="50" t="s">
        <v>48</v>
      </c>
      <c r="B51" s="28" t="s">
        <v>49</v>
      </c>
      <c r="C51" s="55">
        <v>212</v>
      </c>
      <c r="D51" s="33">
        <f t="shared" si="14"/>
        <v>283000</v>
      </c>
      <c r="E51" s="33">
        <f t="shared" si="15"/>
        <v>117214</v>
      </c>
      <c r="F51" s="91">
        <f t="shared" si="8"/>
        <v>41.418374558303888</v>
      </c>
      <c r="G51" s="38">
        <v>18000</v>
      </c>
      <c r="H51" s="82">
        <v>4714</v>
      </c>
      <c r="I51" s="21"/>
      <c r="J51" s="21"/>
      <c r="K51" s="21"/>
      <c r="L51" s="21"/>
      <c r="M51" s="38">
        <v>265000</v>
      </c>
      <c r="N51" s="38">
        <v>112500</v>
      </c>
      <c r="O51" s="21"/>
      <c r="P51" s="21"/>
      <c r="Q51" s="21"/>
      <c r="R51" s="21"/>
      <c r="S51" s="21"/>
      <c r="T51" s="21"/>
    </row>
    <row r="52" spans="1:20" s="22" customFormat="1" ht="16.5" x14ac:dyDescent="0.25">
      <c r="A52" s="50" t="s">
        <v>50</v>
      </c>
      <c r="B52" s="28" t="s">
        <v>51</v>
      </c>
      <c r="C52" s="55">
        <v>213</v>
      </c>
      <c r="D52" s="33">
        <f t="shared" si="14"/>
        <v>87287835</v>
      </c>
      <c r="E52" s="33">
        <f t="shared" si="15"/>
        <v>25694450.510000002</v>
      </c>
      <c r="F52" s="91">
        <f t="shared" si="8"/>
        <v>29.436462148476934</v>
      </c>
      <c r="G52" s="38">
        <v>87287835</v>
      </c>
      <c r="H52" s="82">
        <v>25694450.510000002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 spans="1:20" s="22" customFormat="1" ht="16.5" x14ac:dyDescent="0.25">
      <c r="A53" s="52" t="s">
        <v>52</v>
      </c>
      <c r="B53" s="28" t="s">
        <v>53</v>
      </c>
      <c r="C53" s="55">
        <v>221</v>
      </c>
      <c r="D53" s="33">
        <f t="shared" si="14"/>
        <v>590461</v>
      </c>
      <c r="E53" s="33">
        <f t="shared" si="15"/>
        <v>143432.88</v>
      </c>
      <c r="F53" s="91">
        <f t="shared" si="8"/>
        <v>24.291677181050062</v>
      </c>
      <c r="G53" s="38">
        <v>590461</v>
      </c>
      <c r="H53" s="82">
        <v>143432.88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</row>
    <row r="54" spans="1:20" s="22" customFormat="1" ht="16.5" x14ac:dyDescent="0.25">
      <c r="A54" s="50" t="s">
        <v>54</v>
      </c>
      <c r="B54" s="28" t="s">
        <v>55</v>
      </c>
      <c r="C54" s="55">
        <v>222</v>
      </c>
      <c r="D54" s="33">
        <f t="shared" si="14"/>
        <v>0</v>
      </c>
      <c r="E54" s="33">
        <f t="shared" si="15"/>
        <v>0</v>
      </c>
      <c r="F54" s="91"/>
      <c r="G54" s="38"/>
      <c r="H54" s="82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</row>
    <row r="55" spans="1:20" s="22" customFormat="1" ht="16.5" x14ac:dyDescent="0.25">
      <c r="A55" s="50" t="s">
        <v>56</v>
      </c>
      <c r="B55" s="28" t="s">
        <v>57</v>
      </c>
      <c r="C55" s="55">
        <v>223</v>
      </c>
      <c r="D55" s="33">
        <f t="shared" si="14"/>
        <v>10677011.57</v>
      </c>
      <c r="E55" s="33">
        <f t="shared" si="15"/>
        <v>5049399.75</v>
      </c>
      <c r="F55" s="91">
        <f t="shared" si="8"/>
        <v>47.292256984975808</v>
      </c>
      <c r="G55" s="38">
        <f>SUM(G56:G58)</f>
        <v>10677011.57</v>
      </c>
      <c r="H55" s="82">
        <f>SUM(H56:H58)</f>
        <v>5049399.75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</row>
    <row r="56" spans="1:20" s="22" customFormat="1" ht="16.5" x14ac:dyDescent="0.25">
      <c r="A56" s="50"/>
      <c r="B56" s="28" t="s">
        <v>58</v>
      </c>
      <c r="C56" s="55">
        <v>223</v>
      </c>
      <c r="D56" s="33">
        <f t="shared" si="14"/>
        <v>7035705.0800000001</v>
      </c>
      <c r="E56" s="33">
        <f t="shared" si="15"/>
        <v>4044305.06</v>
      </c>
      <c r="F56" s="91">
        <f t="shared" si="8"/>
        <v>57.482583678734869</v>
      </c>
      <c r="G56" s="38">
        <v>7035705.0800000001</v>
      </c>
      <c r="H56" s="82">
        <v>4044305.06</v>
      </c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</row>
    <row r="57" spans="1:20" s="22" customFormat="1" ht="16.5" x14ac:dyDescent="0.25">
      <c r="A57" s="50"/>
      <c r="B57" s="28" t="s">
        <v>59</v>
      </c>
      <c r="C57" s="55">
        <v>223</v>
      </c>
      <c r="D57" s="33">
        <f t="shared" si="14"/>
        <v>2737402.83</v>
      </c>
      <c r="E57" s="33">
        <f t="shared" si="15"/>
        <v>808964.39</v>
      </c>
      <c r="F57" s="91">
        <f t="shared" si="8"/>
        <v>29.552259577374663</v>
      </c>
      <c r="G57" s="38">
        <v>2737402.83</v>
      </c>
      <c r="H57" s="82">
        <v>808964.39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 spans="1:20" s="22" customFormat="1" ht="16.5" x14ac:dyDescent="0.25">
      <c r="A58" s="50"/>
      <c r="B58" s="28" t="s">
        <v>60</v>
      </c>
      <c r="C58" s="55">
        <v>223</v>
      </c>
      <c r="D58" s="33">
        <f t="shared" si="14"/>
        <v>903903.66</v>
      </c>
      <c r="E58" s="33">
        <f t="shared" si="15"/>
        <v>196130.3</v>
      </c>
      <c r="F58" s="91">
        <f t="shared" si="8"/>
        <v>21.698142034295998</v>
      </c>
      <c r="G58" s="38">
        <v>903903.66</v>
      </c>
      <c r="H58" s="82">
        <v>196130.3</v>
      </c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</row>
    <row r="59" spans="1:20" s="22" customFormat="1" ht="16.5" x14ac:dyDescent="0.25">
      <c r="A59" s="52" t="s">
        <v>61</v>
      </c>
      <c r="B59" s="28" t="s">
        <v>62</v>
      </c>
      <c r="C59" s="55">
        <v>224</v>
      </c>
      <c r="D59" s="33">
        <f t="shared" si="14"/>
        <v>435328</v>
      </c>
      <c r="E59" s="33">
        <f t="shared" si="15"/>
        <v>148788.4</v>
      </c>
      <c r="F59" s="91">
        <f t="shared" si="8"/>
        <v>34.178458541605409</v>
      </c>
      <c r="G59" s="38">
        <v>435328</v>
      </c>
      <c r="H59" s="82">
        <v>148788.4</v>
      </c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</row>
    <row r="60" spans="1:20" s="22" customFormat="1" ht="16.5" x14ac:dyDescent="0.25">
      <c r="A60" s="52" t="s">
        <v>63</v>
      </c>
      <c r="B60" s="28" t="s">
        <v>64</v>
      </c>
      <c r="C60" s="55">
        <v>225</v>
      </c>
      <c r="D60" s="33">
        <f t="shared" si="4"/>
        <v>4842600.4000000004</v>
      </c>
      <c r="E60" s="33">
        <f t="shared" si="5"/>
        <v>932746.41</v>
      </c>
      <c r="F60" s="91">
        <f t="shared" si="8"/>
        <v>19.261271485460579</v>
      </c>
      <c r="G60" s="38">
        <v>4842600.4000000004</v>
      </c>
      <c r="H60" s="82">
        <v>932746.41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 spans="1:20" s="22" customFormat="1" ht="16.5" x14ac:dyDescent="0.25">
      <c r="A61" s="52" t="s">
        <v>65</v>
      </c>
      <c r="B61" s="28" t="s">
        <v>66</v>
      </c>
      <c r="C61" s="55">
        <v>226</v>
      </c>
      <c r="D61" s="33">
        <f t="shared" si="4"/>
        <v>4718021</v>
      </c>
      <c r="E61" s="33">
        <f t="shared" si="5"/>
        <v>750047.92</v>
      </c>
      <c r="F61" s="91">
        <f t="shared" si="8"/>
        <v>15.897511265846424</v>
      </c>
      <c r="G61" s="38">
        <v>4718021</v>
      </c>
      <c r="H61" s="82">
        <f>SUM(H62:H63)</f>
        <v>750047.92</v>
      </c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</row>
    <row r="62" spans="1:20" s="22" customFormat="1" ht="16.5" x14ac:dyDescent="0.25">
      <c r="A62" s="52"/>
      <c r="B62" s="28" t="s">
        <v>75</v>
      </c>
      <c r="C62" s="55">
        <v>226</v>
      </c>
      <c r="D62" s="33">
        <f t="shared" si="4"/>
        <v>0</v>
      </c>
      <c r="E62" s="33">
        <f t="shared" si="5"/>
        <v>0</v>
      </c>
      <c r="F62" s="91"/>
      <c r="G62" s="38"/>
      <c r="H62" s="82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</row>
    <row r="63" spans="1:20" s="22" customFormat="1" ht="16.5" x14ac:dyDescent="0.25">
      <c r="A63" s="52"/>
      <c r="B63" s="28" t="s">
        <v>285</v>
      </c>
      <c r="C63" s="55">
        <v>226</v>
      </c>
      <c r="D63" s="33">
        <f t="shared" si="4"/>
        <v>0</v>
      </c>
      <c r="E63" s="33">
        <f t="shared" si="5"/>
        <v>750047.92</v>
      </c>
      <c r="F63" s="91"/>
      <c r="G63" s="38"/>
      <c r="H63" s="82">
        <v>750047.92</v>
      </c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</row>
    <row r="64" spans="1:20" s="22" customFormat="1" ht="16.5" x14ac:dyDescent="0.25">
      <c r="A64" s="52" t="s">
        <v>67</v>
      </c>
      <c r="B64" s="28" t="s">
        <v>68</v>
      </c>
      <c r="C64" s="55">
        <v>290</v>
      </c>
      <c r="D64" s="33">
        <f t="shared" si="4"/>
        <v>3158988</v>
      </c>
      <c r="E64" s="33">
        <f t="shared" si="5"/>
        <v>0</v>
      </c>
      <c r="F64" s="91"/>
      <c r="G64" s="38">
        <v>3158988</v>
      </c>
      <c r="H64" s="82">
        <v>0</v>
      </c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</row>
    <row r="65" spans="1:20" s="22" customFormat="1" ht="16.5" x14ac:dyDescent="0.25">
      <c r="A65" s="52" t="s">
        <v>69</v>
      </c>
      <c r="B65" s="28" t="s">
        <v>70</v>
      </c>
      <c r="C65" s="55"/>
      <c r="D65" s="33">
        <f t="shared" si="4"/>
        <v>250000</v>
      </c>
      <c r="E65" s="33">
        <f t="shared" si="5"/>
        <v>250000</v>
      </c>
      <c r="F65" s="91">
        <f t="shared" si="8"/>
        <v>100</v>
      </c>
      <c r="G65" s="38">
        <f>SUM(G66:G67)</f>
        <v>250000</v>
      </c>
      <c r="H65" s="82">
        <f>SUM(H66:H67)</f>
        <v>250000</v>
      </c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6" spans="1:20" s="22" customFormat="1" ht="16.5" x14ac:dyDescent="0.25">
      <c r="A66" s="52"/>
      <c r="B66" s="28" t="s">
        <v>71</v>
      </c>
      <c r="C66" s="55">
        <v>310</v>
      </c>
      <c r="D66" s="33">
        <f t="shared" si="4"/>
        <v>0</v>
      </c>
      <c r="E66" s="33">
        <f t="shared" si="5"/>
        <v>0</v>
      </c>
      <c r="F66" s="91"/>
      <c r="G66" s="38"/>
      <c r="H66" s="82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s="22" customFormat="1" ht="16.5" x14ac:dyDescent="0.25">
      <c r="A67" s="52"/>
      <c r="B67" s="28" t="s">
        <v>72</v>
      </c>
      <c r="C67" s="55">
        <v>310</v>
      </c>
      <c r="D67" s="33">
        <f t="shared" si="4"/>
        <v>250000</v>
      </c>
      <c r="E67" s="33">
        <f t="shared" si="5"/>
        <v>250000</v>
      </c>
      <c r="F67" s="91">
        <f t="shared" si="8"/>
        <v>100</v>
      </c>
      <c r="G67" s="38">
        <v>250000</v>
      </c>
      <c r="H67" s="82">
        <v>250000</v>
      </c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</row>
    <row r="68" spans="1:20" s="22" customFormat="1" ht="16.5" x14ac:dyDescent="0.25">
      <c r="A68" s="52" t="s">
        <v>73</v>
      </c>
      <c r="B68" s="28" t="s">
        <v>74</v>
      </c>
      <c r="C68" s="55">
        <v>340</v>
      </c>
      <c r="D68" s="33">
        <f t="shared" si="4"/>
        <v>1319630</v>
      </c>
      <c r="E68" s="33">
        <f t="shared" si="5"/>
        <v>90000</v>
      </c>
      <c r="F68" s="91">
        <f t="shared" si="8"/>
        <v>6.8200935110599188</v>
      </c>
      <c r="G68" s="38">
        <f>SUM(G69:G71)</f>
        <v>1319630</v>
      </c>
      <c r="H68" s="82">
        <f>SUM(H69:H71)</f>
        <v>90000</v>
      </c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</row>
    <row r="69" spans="1:20" s="22" customFormat="1" ht="16.5" x14ac:dyDescent="0.25">
      <c r="A69" s="52"/>
      <c r="B69" s="28" t="s">
        <v>75</v>
      </c>
      <c r="C69" s="55">
        <v>340</v>
      </c>
      <c r="D69" s="33">
        <f t="shared" si="4"/>
        <v>0</v>
      </c>
      <c r="E69" s="33">
        <f t="shared" si="5"/>
        <v>0</v>
      </c>
      <c r="F69" s="91"/>
      <c r="G69" s="21"/>
      <c r="H69" s="84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</row>
    <row r="70" spans="1:20" s="22" customFormat="1" ht="16.5" x14ac:dyDescent="0.25">
      <c r="A70" s="52"/>
      <c r="B70" s="28" t="s">
        <v>76</v>
      </c>
      <c r="C70" s="55">
        <v>340</v>
      </c>
      <c r="D70" s="33">
        <f t="shared" si="4"/>
        <v>780283</v>
      </c>
      <c r="E70" s="33">
        <f t="shared" si="5"/>
        <v>0</v>
      </c>
      <c r="F70" s="91">
        <f t="shared" si="8"/>
        <v>0</v>
      </c>
      <c r="G70" s="38">
        <v>780283</v>
      </c>
      <c r="H70" s="82">
        <v>0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</row>
    <row r="71" spans="1:20" s="22" customFormat="1" ht="16.5" x14ac:dyDescent="0.25">
      <c r="A71" s="52"/>
      <c r="B71" s="28" t="s">
        <v>77</v>
      </c>
      <c r="C71" s="55">
        <v>340</v>
      </c>
      <c r="D71" s="33">
        <f t="shared" si="4"/>
        <v>539347</v>
      </c>
      <c r="E71" s="33">
        <f t="shared" si="5"/>
        <v>90000</v>
      </c>
      <c r="F71" s="91">
        <f t="shared" si="8"/>
        <v>16.686845388961096</v>
      </c>
      <c r="G71" s="38">
        <v>539347</v>
      </c>
      <c r="H71" s="82">
        <v>90000</v>
      </c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</row>
    <row r="72" spans="1:20" s="22" customFormat="1" ht="16.5" x14ac:dyDescent="0.25">
      <c r="A72" s="52" t="s">
        <v>78</v>
      </c>
      <c r="B72" s="28" t="s">
        <v>79</v>
      </c>
      <c r="C72" s="55"/>
      <c r="D72" s="33">
        <f t="shared" si="4"/>
        <v>450000</v>
      </c>
      <c r="E72" s="33">
        <f t="shared" si="5"/>
        <v>11400</v>
      </c>
      <c r="F72" s="91">
        <f t="shared" si="8"/>
        <v>2.5333333333333332</v>
      </c>
      <c r="G72" s="38">
        <f>SUM(G73:G74)</f>
        <v>450000</v>
      </c>
      <c r="H72" s="82">
        <f>SUM(H73:H74)</f>
        <v>11400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</row>
    <row r="73" spans="1:20" s="22" customFormat="1" ht="16.5" x14ac:dyDescent="0.25">
      <c r="A73" s="52"/>
      <c r="B73" s="28" t="s">
        <v>66</v>
      </c>
      <c r="C73" s="55">
        <v>226</v>
      </c>
      <c r="D73" s="33">
        <f t="shared" si="4"/>
        <v>450000</v>
      </c>
      <c r="E73" s="33">
        <f t="shared" si="5"/>
        <v>11400</v>
      </c>
      <c r="F73" s="91">
        <f t="shared" si="8"/>
        <v>2.5333333333333332</v>
      </c>
      <c r="G73" s="38">
        <v>450000</v>
      </c>
      <c r="H73" s="82">
        <v>11400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</row>
    <row r="74" spans="1:20" s="22" customFormat="1" ht="16.5" x14ac:dyDescent="0.25">
      <c r="A74" s="52"/>
      <c r="B74" s="58" t="s">
        <v>74</v>
      </c>
      <c r="C74" s="55">
        <v>340</v>
      </c>
      <c r="D74" s="33">
        <f t="shared" si="4"/>
        <v>0</v>
      </c>
      <c r="E74" s="33">
        <f t="shared" si="5"/>
        <v>0</v>
      </c>
      <c r="F74" s="91"/>
      <c r="G74" s="21"/>
      <c r="H74" s="84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</row>
    <row r="75" spans="1:20" s="22" customFormat="1" ht="16.5" hidden="1" x14ac:dyDescent="0.25">
      <c r="A75" s="52"/>
      <c r="B75" s="58"/>
      <c r="C75" s="55"/>
      <c r="D75" s="33">
        <f t="shared" si="4"/>
        <v>0</v>
      </c>
      <c r="E75" s="33">
        <f t="shared" si="5"/>
        <v>0</v>
      </c>
      <c r="F75" s="91" t="e">
        <f t="shared" si="8"/>
        <v>#DIV/0!</v>
      </c>
      <c r="G75" s="21"/>
      <c r="H75" s="84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</row>
    <row r="76" spans="1:20" s="22" customFormat="1" ht="16.5" hidden="1" x14ac:dyDescent="0.25">
      <c r="A76" s="52"/>
      <c r="B76" s="58"/>
      <c r="C76" s="55"/>
      <c r="D76" s="33">
        <f t="shared" si="4"/>
        <v>0</v>
      </c>
      <c r="E76" s="33">
        <f t="shared" si="5"/>
        <v>0</v>
      </c>
      <c r="F76" s="91" t="e">
        <f t="shared" si="8"/>
        <v>#DIV/0!</v>
      </c>
      <c r="G76" s="21"/>
      <c r="H76" s="84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</row>
    <row r="77" spans="1:20" s="22" customFormat="1" ht="16.5" hidden="1" x14ac:dyDescent="0.25">
      <c r="A77" s="52"/>
      <c r="B77" s="58"/>
      <c r="C77" s="55"/>
      <c r="D77" s="33">
        <f t="shared" si="4"/>
        <v>0</v>
      </c>
      <c r="E77" s="33">
        <f t="shared" si="5"/>
        <v>0</v>
      </c>
      <c r="F77" s="91" t="e">
        <f t="shared" si="8"/>
        <v>#DIV/0!</v>
      </c>
      <c r="G77" s="21"/>
      <c r="H77" s="84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</row>
    <row r="78" spans="1:20" s="20" customFormat="1" ht="17.25" x14ac:dyDescent="0.25">
      <c r="A78" s="59" t="s">
        <v>21</v>
      </c>
      <c r="B78" s="48" t="s">
        <v>22</v>
      </c>
      <c r="C78" s="54"/>
      <c r="D78" s="25">
        <f t="shared" ref="D78:N78" si="25">SUM(D79:D81)</f>
        <v>1553870</v>
      </c>
      <c r="E78" s="25">
        <f t="shared" si="25"/>
        <v>509030</v>
      </c>
      <c r="F78" s="91">
        <f t="shared" si="8"/>
        <v>32.758853700760035</v>
      </c>
      <c r="G78" s="25">
        <f t="shared" si="25"/>
        <v>1553870</v>
      </c>
      <c r="H78" s="25">
        <f t="shared" si="25"/>
        <v>509030</v>
      </c>
      <c r="I78" s="25">
        <f t="shared" si="25"/>
        <v>0</v>
      </c>
      <c r="J78" s="25">
        <f t="shared" si="25"/>
        <v>0</v>
      </c>
      <c r="K78" s="25">
        <f t="shared" si="25"/>
        <v>0</v>
      </c>
      <c r="L78" s="25">
        <f t="shared" si="25"/>
        <v>0</v>
      </c>
      <c r="M78" s="25">
        <f t="shared" si="25"/>
        <v>0</v>
      </c>
      <c r="N78" s="25">
        <f t="shared" si="25"/>
        <v>0</v>
      </c>
      <c r="O78" s="25">
        <f>SUM(O79:O81)</f>
        <v>0</v>
      </c>
      <c r="P78" s="25">
        <f t="shared" ref="P78:T78" si="26">SUM(P79:P81)</f>
        <v>0</v>
      </c>
      <c r="Q78" s="25">
        <f t="shared" si="26"/>
        <v>0</v>
      </c>
      <c r="R78" s="25">
        <f t="shared" si="26"/>
        <v>0</v>
      </c>
      <c r="S78" s="25">
        <f t="shared" si="26"/>
        <v>0</v>
      </c>
      <c r="T78" s="25">
        <f t="shared" si="26"/>
        <v>0</v>
      </c>
    </row>
    <row r="79" spans="1:20" s="22" customFormat="1" ht="16.5" x14ac:dyDescent="0.25">
      <c r="A79" s="52"/>
      <c r="B79" s="28" t="s">
        <v>80</v>
      </c>
      <c r="C79" s="55">
        <v>290</v>
      </c>
      <c r="D79" s="33">
        <f t="shared" si="4"/>
        <v>249100</v>
      </c>
      <c r="E79" s="33">
        <f t="shared" si="5"/>
        <v>16900</v>
      </c>
      <c r="F79" s="91">
        <f t="shared" si="8"/>
        <v>6.7844239261340826</v>
      </c>
      <c r="G79" s="38">
        <v>249100</v>
      </c>
      <c r="H79" s="82">
        <v>16900</v>
      </c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</row>
    <row r="80" spans="1:20" s="22" customFormat="1" ht="16.5" x14ac:dyDescent="0.25">
      <c r="A80" s="50"/>
      <c r="B80" s="28" t="s">
        <v>81</v>
      </c>
      <c r="C80" s="55">
        <v>290</v>
      </c>
      <c r="D80" s="33">
        <f t="shared" si="4"/>
        <v>1101200</v>
      </c>
      <c r="E80" s="33">
        <f t="shared" si="5"/>
        <v>492130</v>
      </c>
      <c r="F80" s="91">
        <f t="shared" si="8"/>
        <v>44.69033781329459</v>
      </c>
      <c r="G80" s="38">
        <v>1101200</v>
      </c>
      <c r="H80" s="82">
        <v>492130</v>
      </c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spans="1:20" s="22" customFormat="1" ht="16.5" x14ac:dyDescent="0.25">
      <c r="A81" s="50"/>
      <c r="B81" s="28" t="s">
        <v>82</v>
      </c>
      <c r="C81" s="55">
        <v>290</v>
      </c>
      <c r="D81" s="33">
        <f t="shared" si="4"/>
        <v>203570</v>
      </c>
      <c r="E81" s="33">
        <f t="shared" si="5"/>
        <v>0</v>
      </c>
      <c r="F81" s="91">
        <f t="shared" si="8"/>
        <v>0</v>
      </c>
      <c r="G81" s="38">
        <v>203570</v>
      </c>
      <c r="H81" s="82">
        <v>0</v>
      </c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</row>
    <row r="82" spans="1:20" s="20" customFormat="1" ht="17.25" x14ac:dyDescent="0.25">
      <c r="A82" s="59" t="s">
        <v>23</v>
      </c>
      <c r="B82" s="48" t="s">
        <v>24</v>
      </c>
      <c r="C82" s="54"/>
      <c r="D82" s="25">
        <f t="shared" ref="D82:N82" si="27">SUM(D83)</f>
        <v>0</v>
      </c>
      <c r="E82" s="25">
        <f t="shared" si="27"/>
        <v>0</v>
      </c>
      <c r="F82" s="91"/>
      <c r="G82" s="25">
        <f t="shared" si="27"/>
        <v>0</v>
      </c>
      <c r="H82" s="25">
        <f t="shared" si="27"/>
        <v>0</v>
      </c>
      <c r="I82" s="25">
        <f t="shared" si="27"/>
        <v>0</v>
      </c>
      <c r="J82" s="25">
        <f t="shared" si="27"/>
        <v>0</v>
      </c>
      <c r="K82" s="25">
        <f t="shared" si="27"/>
        <v>0</v>
      </c>
      <c r="L82" s="25">
        <f t="shared" si="27"/>
        <v>0</v>
      </c>
      <c r="M82" s="25">
        <f t="shared" si="27"/>
        <v>0</v>
      </c>
      <c r="N82" s="25">
        <f t="shared" si="27"/>
        <v>0</v>
      </c>
      <c r="O82" s="25">
        <f>SUM(O83)</f>
        <v>0</v>
      </c>
      <c r="P82" s="25">
        <f t="shared" ref="P82:T82" si="28">SUM(P83)</f>
        <v>0</v>
      </c>
      <c r="Q82" s="25">
        <f t="shared" si="28"/>
        <v>0</v>
      </c>
      <c r="R82" s="25">
        <f t="shared" si="28"/>
        <v>0</v>
      </c>
      <c r="S82" s="25">
        <f t="shared" si="28"/>
        <v>0</v>
      </c>
      <c r="T82" s="25">
        <f t="shared" si="28"/>
        <v>0</v>
      </c>
    </row>
    <row r="83" spans="1:20" s="22" customFormat="1" ht="16.5" x14ac:dyDescent="0.25">
      <c r="A83" s="52"/>
      <c r="B83" s="58" t="s">
        <v>74</v>
      </c>
      <c r="C83" s="55">
        <v>340</v>
      </c>
      <c r="D83" s="33">
        <f t="shared" ref="D83:D152" si="29">SUM(G83+I83+K83+M83+O83+Q83+S83)</f>
        <v>0</v>
      </c>
      <c r="E83" s="33">
        <f t="shared" ref="E83:E152" si="30">SUM(H83+J83+L83+N83+P83+R83+T83)</f>
        <v>0</v>
      </c>
      <c r="F83" s="91"/>
      <c r="G83" s="38"/>
      <c r="H83" s="38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</row>
    <row r="84" spans="1:20" s="20" customFormat="1" ht="17.25" x14ac:dyDescent="0.25">
      <c r="A84" s="59" t="s">
        <v>25</v>
      </c>
      <c r="B84" s="48" t="s">
        <v>26</v>
      </c>
      <c r="C84" s="54"/>
      <c r="D84" s="25">
        <f t="shared" ref="D84:L84" si="31">SUM(D85+D165+D168+D174+D180)</f>
        <v>10839369.43</v>
      </c>
      <c r="E84" s="25">
        <f t="shared" si="31"/>
        <v>1914134.8</v>
      </c>
      <c r="F84" s="91">
        <f t="shared" si="8"/>
        <v>17.659097352123371</v>
      </c>
      <c r="G84" s="25">
        <f t="shared" si="31"/>
        <v>10839369.43</v>
      </c>
      <c r="H84" s="25">
        <f>SUM(H85+H165+H168+H174+H180)</f>
        <v>1914134.8</v>
      </c>
      <c r="I84" s="25">
        <f t="shared" si="31"/>
        <v>0</v>
      </c>
      <c r="J84" s="25">
        <f t="shared" si="31"/>
        <v>0</v>
      </c>
      <c r="K84" s="25">
        <f t="shared" si="31"/>
        <v>0</v>
      </c>
      <c r="L84" s="25">
        <f t="shared" si="31"/>
        <v>0</v>
      </c>
      <c r="M84" s="25">
        <f>SUM(M85+M165+M168+M174+M180)</f>
        <v>0</v>
      </c>
      <c r="N84" s="25">
        <f t="shared" ref="N84:T84" si="32">SUM(N85+N165+N168+N174+N180)</f>
        <v>0</v>
      </c>
      <c r="O84" s="25">
        <f t="shared" si="32"/>
        <v>0</v>
      </c>
      <c r="P84" s="25">
        <f t="shared" si="32"/>
        <v>0</v>
      </c>
      <c r="Q84" s="25">
        <f t="shared" si="32"/>
        <v>0</v>
      </c>
      <c r="R84" s="25">
        <f t="shared" si="32"/>
        <v>0</v>
      </c>
      <c r="S84" s="25">
        <f t="shared" si="32"/>
        <v>0</v>
      </c>
      <c r="T84" s="25">
        <f t="shared" si="32"/>
        <v>0</v>
      </c>
    </row>
    <row r="85" spans="1:20" s="20" customFormat="1" ht="34.5" x14ac:dyDescent="0.25">
      <c r="A85" s="59" t="s">
        <v>27</v>
      </c>
      <c r="B85" s="48" t="s">
        <v>83</v>
      </c>
      <c r="C85" s="54"/>
      <c r="D85" s="25">
        <f t="shared" ref="D85" si="33">SUM(D86+D89+D99+D118+D129+D135)+D123</f>
        <v>8679169.4299999997</v>
      </c>
      <c r="E85" s="25">
        <f t="shared" ref="E85" si="34">SUM(E86+E89+E99+E118+E129+E135)+E123</f>
        <v>1638314.8</v>
      </c>
      <c r="F85" s="91">
        <f t="shared" si="8"/>
        <v>18.876400711075878</v>
      </c>
      <c r="G85" s="25">
        <f t="shared" ref="G85" si="35">SUM(G86+G89+G99+G118+G129+G135)+G123</f>
        <v>8679169.4299999997</v>
      </c>
      <c r="H85" s="25">
        <f t="shared" ref="H85:M85" si="36">SUM(H86+H89+H99+H118+H129+H135)+H123</f>
        <v>1638314.8</v>
      </c>
      <c r="I85" s="25">
        <f t="shared" si="36"/>
        <v>0</v>
      </c>
      <c r="J85" s="25">
        <f t="shared" si="36"/>
        <v>0</v>
      </c>
      <c r="K85" s="25">
        <f t="shared" si="36"/>
        <v>0</v>
      </c>
      <c r="L85" s="25">
        <f t="shared" si="36"/>
        <v>0</v>
      </c>
      <c r="M85" s="25">
        <f t="shared" si="36"/>
        <v>0</v>
      </c>
      <c r="N85" s="25"/>
      <c r="O85" s="25">
        <f t="shared" ref="O85:S85" si="37">SUM(O86+O89+O99+O118+O129+O135)+O123</f>
        <v>0</v>
      </c>
      <c r="P85" s="25"/>
      <c r="Q85" s="25">
        <f t="shared" si="37"/>
        <v>0</v>
      </c>
      <c r="R85" s="25"/>
      <c r="S85" s="25">
        <f t="shared" si="37"/>
        <v>0</v>
      </c>
      <c r="T85" s="25">
        <f t="shared" ref="T85" si="38">SUM(T86+T89+T99+T118+T129+T135)+T123</f>
        <v>0</v>
      </c>
    </row>
    <row r="86" spans="1:20" s="20" customFormat="1" ht="17.25" x14ac:dyDescent="0.25">
      <c r="A86" s="59" t="s">
        <v>84</v>
      </c>
      <c r="B86" s="48" t="s">
        <v>85</v>
      </c>
      <c r="C86" s="54"/>
      <c r="D86" s="25">
        <f t="shared" ref="D86:E86" si="39">SUM(D87:D88)</f>
        <v>1850000</v>
      </c>
      <c r="E86" s="25">
        <f t="shared" si="39"/>
        <v>0</v>
      </c>
      <c r="F86" s="91">
        <f t="shared" si="8"/>
        <v>0</v>
      </c>
      <c r="G86" s="25">
        <f>SUM(G87:G88)</f>
        <v>1850000</v>
      </c>
      <c r="H86" s="25">
        <f t="shared" ref="H86:T86" si="40">SUM(H87:H88)</f>
        <v>0</v>
      </c>
      <c r="I86" s="25">
        <f t="shared" si="40"/>
        <v>0</v>
      </c>
      <c r="J86" s="25">
        <f t="shared" si="40"/>
        <v>0</v>
      </c>
      <c r="K86" s="25">
        <f t="shared" si="40"/>
        <v>0</v>
      </c>
      <c r="L86" s="25">
        <f t="shared" si="40"/>
        <v>0</v>
      </c>
      <c r="M86" s="25">
        <f t="shared" si="40"/>
        <v>0</v>
      </c>
      <c r="N86" s="25">
        <f t="shared" si="40"/>
        <v>0</v>
      </c>
      <c r="O86" s="25">
        <f t="shared" si="40"/>
        <v>0</v>
      </c>
      <c r="P86" s="25">
        <f t="shared" si="40"/>
        <v>0</v>
      </c>
      <c r="Q86" s="25">
        <f t="shared" si="40"/>
        <v>0</v>
      </c>
      <c r="R86" s="25">
        <f t="shared" si="40"/>
        <v>0</v>
      </c>
      <c r="S86" s="25">
        <f t="shared" si="40"/>
        <v>0</v>
      </c>
      <c r="T86" s="25">
        <f t="shared" si="40"/>
        <v>0</v>
      </c>
    </row>
    <row r="87" spans="1:20" s="26" customFormat="1" ht="16.5" x14ac:dyDescent="0.25">
      <c r="A87" s="60"/>
      <c r="B87" s="28" t="s">
        <v>86</v>
      </c>
      <c r="C87" s="55">
        <v>225</v>
      </c>
      <c r="D87" s="33">
        <f t="shared" si="29"/>
        <v>1500000</v>
      </c>
      <c r="E87" s="33">
        <f t="shared" si="30"/>
        <v>0</v>
      </c>
      <c r="F87" s="91">
        <f t="shared" si="8"/>
        <v>0</v>
      </c>
      <c r="G87" s="38">
        <f>9829949.66-8329949.66</f>
        <v>1500000</v>
      </c>
      <c r="H87" s="38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</row>
    <row r="88" spans="1:20" s="26" customFormat="1" ht="16.5" x14ac:dyDescent="0.25">
      <c r="A88" s="52"/>
      <c r="B88" s="28" t="s">
        <v>87</v>
      </c>
      <c r="C88" s="55">
        <v>226</v>
      </c>
      <c r="D88" s="33">
        <f t="shared" si="29"/>
        <v>350000</v>
      </c>
      <c r="E88" s="33">
        <f t="shared" si="30"/>
        <v>0</v>
      </c>
      <c r="F88" s="91">
        <f t="shared" si="8"/>
        <v>0</v>
      </c>
      <c r="G88" s="38">
        <v>350000</v>
      </c>
      <c r="H88" s="38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</row>
    <row r="89" spans="1:20" s="20" customFormat="1" ht="17.25" x14ac:dyDescent="0.25">
      <c r="A89" s="59" t="s">
        <v>88</v>
      </c>
      <c r="B89" s="48" t="s">
        <v>89</v>
      </c>
      <c r="C89" s="54"/>
      <c r="D89" s="25">
        <f t="shared" ref="D89:E89" si="41">SUM(D90:D98)</f>
        <v>4223300</v>
      </c>
      <c r="E89" s="25">
        <f t="shared" si="41"/>
        <v>1214196</v>
      </c>
      <c r="F89" s="91">
        <f t="shared" si="8"/>
        <v>28.749934885042499</v>
      </c>
      <c r="G89" s="25">
        <f>SUM(G90:G98)</f>
        <v>4223300</v>
      </c>
      <c r="H89" s="25">
        <f t="shared" ref="H89:T89" si="42">SUM(H90:H98)</f>
        <v>1214196</v>
      </c>
      <c r="I89" s="25">
        <f t="shared" si="42"/>
        <v>0</v>
      </c>
      <c r="J89" s="25">
        <f t="shared" si="42"/>
        <v>0</v>
      </c>
      <c r="K89" s="25">
        <f t="shared" si="42"/>
        <v>0</v>
      </c>
      <c r="L89" s="25">
        <f t="shared" si="42"/>
        <v>0</v>
      </c>
      <c r="M89" s="25">
        <f t="shared" si="42"/>
        <v>0</v>
      </c>
      <c r="N89" s="25">
        <f t="shared" si="42"/>
        <v>0</v>
      </c>
      <c r="O89" s="25">
        <f t="shared" si="42"/>
        <v>0</v>
      </c>
      <c r="P89" s="25">
        <f t="shared" si="42"/>
        <v>0</v>
      </c>
      <c r="Q89" s="25">
        <f t="shared" si="42"/>
        <v>0</v>
      </c>
      <c r="R89" s="25">
        <f t="shared" si="42"/>
        <v>0</v>
      </c>
      <c r="S89" s="25">
        <f t="shared" si="42"/>
        <v>0</v>
      </c>
      <c r="T89" s="25">
        <f t="shared" si="42"/>
        <v>0</v>
      </c>
    </row>
    <row r="90" spans="1:20" s="26" customFormat="1" ht="16.5" x14ac:dyDescent="0.25">
      <c r="A90" s="52" t="s">
        <v>90</v>
      </c>
      <c r="B90" s="28" t="s">
        <v>91</v>
      </c>
      <c r="C90" s="55">
        <v>225</v>
      </c>
      <c r="D90" s="33">
        <f t="shared" si="29"/>
        <v>3723300</v>
      </c>
      <c r="E90" s="33">
        <f t="shared" si="30"/>
        <v>1214196</v>
      </c>
      <c r="F90" s="91">
        <f t="shared" si="8"/>
        <v>32.610748529530255</v>
      </c>
      <c r="G90" s="38">
        <f>2309063+1414237</f>
        <v>3723300</v>
      </c>
      <c r="H90" s="82">
        <v>1214196</v>
      </c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</row>
    <row r="91" spans="1:20" s="26" customFormat="1" ht="16.5" hidden="1" x14ac:dyDescent="0.25">
      <c r="A91" s="52" t="s">
        <v>90</v>
      </c>
      <c r="B91" s="28" t="s">
        <v>87</v>
      </c>
      <c r="C91" s="55">
        <v>226</v>
      </c>
      <c r="D91" s="33">
        <f t="shared" si="29"/>
        <v>0</v>
      </c>
      <c r="E91" s="33">
        <f t="shared" si="30"/>
        <v>0</v>
      </c>
      <c r="F91" s="91" t="e">
        <f t="shared" si="8"/>
        <v>#DIV/0!</v>
      </c>
      <c r="G91" s="38"/>
      <c r="H91" s="38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</row>
    <row r="92" spans="1:20" s="26" customFormat="1" ht="16.5" x14ac:dyDescent="0.25">
      <c r="A92" s="52" t="s">
        <v>92</v>
      </c>
      <c r="B92" s="28" t="s">
        <v>93</v>
      </c>
      <c r="C92" s="55">
        <v>340</v>
      </c>
      <c r="D92" s="33">
        <f t="shared" si="29"/>
        <v>0</v>
      </c>
      <c r="E92" s="33">
        <f t="shared" si="30"/>
        <v>0</v>
      </c>
      <c r="F92" s="91"/>
      <c r="G92" s="38">
        <v>0</v>
      </c>
      <c r="H92" s="38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</row>
    <row r="93" spans="1:20" s="26" customFormat="1" ht="16.5" x14ac:dyDescent="0.25">
      <c r="A93" s="52" t="s">
        <v>94</v>
      </c>
      <c r="B93" s="28" t="s">
        <v>95</v>
      </c>
      <c r="C93" s="55">
        <v>310</v>
      </c>
      <c r="D93" s="33">
        <f t="shared" si="29"/>
        <v>500000</v>
      </c>
      <c r="E93" s="33">
        <f t="shared" si="30"/>
        <v>0</v>
      </c>
      <c r="F93" s="91">
        <f t="shared" si="8"/>
        <v>0</v>
      </c>
      <c r="G93" s="38">
        <v>500000</v>
      </c>
      <c r="H93" s="38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</row>
    <row r="94" spans="1:20" s="26" customFormat="1" ht="33" hidden="1" x14ac:dyDescent="0.25">
      <c r="A94" s="52" t="s">
        <v>96</v>
      </c>
      <c r="B94" s="28" t="s">
        <v>97</v>
      </c>
      <c r="C94" s="55">
        <v>225</v>
      </c>
      <c r="D94" s="33">
        <f t="shared" si="29"/>
        <v>0</v>
      </c>
      <c r="E94" s="33">
        <f t="shared" si="30"/>
        <v>0</v>
      </c>
      <c r="F94" s="91" t="e">
        <f t="shared" si="8"/>
        <v>#DIV/0!</v>
      </c>
      <c r="G94" s="38"/>
      <c r="H94" s="38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</row>
    <row r="95" spans="1:20" s="26" customFormat="1" ht="33" hidden="1" x14ac:dyDescent="0.25">
      <c r="A95" s="52" t="s">
        <v>96</v>
      </c>
      <c r="B95" s="28" t="s">
        <v>97</v>
      </c>
      <c r="C95" s="55">
        <v>226</v>
      </c>
      <c r="D95" s="33">
        <f t="shared" si="29"/>
        <v>0</v>
      </c>
      <c r="E95" s="33">
        <f t="shared" si="30"/>
        <v>0</v>
      </c>
      <c r="F95" s="91" t="e">
        <f t="shared" ref="F95:F162" si="43">SUM(E95/D95*100)</f>
        <v>#DIV/0!</v>
      </c>
      <c r="G95" s="38"/>
      <c r="H95" s="38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</row>
    <row r="96" spans="1:20" s="26" customFormat="1" ht="33" hidden="1" x14ac:dyDescent="0.25">
      <c r="A96" s="52" t="s">
        <v>96</v>
      </c>
      <c r="B96" s="28" t="s">
        <v>97</v>
      </c>
      <c r="C96" s="55">
        <v>340</v>
      </c>
      <c r="D96" s="33">
        <f t="shared" si="29"/>
        <v>0</v>
      </c>
      <c r="E96" s="33">
        <f t="shared" si="30"/>
        <v>0</v>
      </c>
      <c r="F96" s="91" t="e">
        <f t="shared" si="43"/>
        <v>#DIV/0!</v>
      </c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</row>
    <row r="97" spans="1:20" s="26" customFormat="1" ht="16.5" hidden="1" x14ac:dyDescent="0.25">
      <c r="A97" s="52" t="s">
        <v>98</v>
      </c>
      <c r="B97" s="28" t="s">
        <v>99</v>
      </c>
      <c r="C97" s="55">
        <v>310</v>
      </c>
      <c r="D97" s="33">
        <f t="shared" si="29"/>
        <v>0</v>
      </c>
      <c r="E97" s="33">
        <f t="shared" si="30"/>
        <v>0</v>
      </c>
      <c r="F97" s="91" t="e">
        <f t="shared" si="43"/>
        <v>#DIV/0!</v>
      </c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</row>
    <row r="98" spans="1:20" s="26" customFormat="1" ht="16.5" hidden="1" x14ac:dyDescent="0.25">
      <c r="A98" s="52" t="s">
        <v>98</v>
      </c>
      <c r="B98" s="28" t="s">
        <v>99</v>
      </c>
      <c r="C98" s="55">
        <v>340</v>
      </c>
      <c r="D98" s="33">
        <f t="shared" si="29"/>
        <v>0</v>
      </c>
      <c r="E98" s="33">
        <f t="shared" si="30"/>
        <v>0</v>
      </c>
      <c r="F98" s="91" t="e">
        <f t="shared" si="43"/>
        <v>#DIV/0!</v>
      </c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</row>
    <row r="99" spans="1:20" s="18" customFormat="1" ht="17.25" x14ac:dyDescent="0.25">
      <c r="A99" s="61" t="s">
        <v>100</v>
      </c>
      <c r="B99" s="62" t="s">
        <v>101</v>
      </c>
      <c r="C99" s="49"/>
      <c r="D99" s="34">
        <f t="shared" ref="D99" si="44">SUM(D100:D117)</f>
        <v>357288</v>
      </c>
      <c r="E99" s="34">
        <f t="shared" ref="E99" si="45">SUM(E100:E117)</f>
        <v>0</v>
      </c>
      <c r="F99" s="91">
        <f t="shared" si="43"/>
        <v>0</v>
      </c>
      <c r="G99" s="34">
        <f t="shared" ref="G99" si="46">SUM(G100:G117)</f>
        <v>357288</v>
      </c>
      <c r="H99" s="34">
        <f t="shared" ref="H99" si="47">SUM(H100:H117)</f>
        <v>0</v>
      </c>
      <c r="I99" s="34">
        <f t="shared" ref="I99" si="48">SUM(I100:I117)</f>
        <v>0</v>
      </c>
      <c r="J99" s="34">
        <f t="shared" ref="J99:T99" si="49">SUM(J100:J117)</f>
        <v>0</v>
      </c>
      <c r="K99" s="34">
        <f t="shared" si="49"/>
        <v>0</v>
      </c>
      <c r="L99" s="34">
        <f t="shared" si="49"/>
        <v>0</v>
      </c>
      <c r="M99" s="34">
        <f t="shared" si="49"/>
        <v>0</v>
      </c>
      <c r="N99" s="34">
        <f t="shared" si="49"/>
        <v>0</v>
      </c>
      <c r="O99" s="34">
        <f t="shared" si="49"/>
        <v>0</v>
      </c>
      <c r="P99" s="34">
        <f t="shared" si="49"/>
        <v>0</v>
      </c>
      <c r="Q99" s="34">
        <f t="shared" si="49"/>
        <v>0</v>
      </c>
      <c r="R99" s="34">
        <f t="shared" si="49"/>
        <v>0</v>
      </c>
      <c r="S99" s="34">
        <f t="shared" si="49"/>
        <v>0</v>
      </c>
      <c r="T99" s="34">
        <f t="shared" si="49"/>
        <v>0</v>
      </c>
    </row>
    <row r="100" spans="1:20" s="27" customFormat="1" ht="33" hidden="1" x14ac:dyDescent="0.25">
      <c r="A100" s="63" t="s">
        <v>102</v>
      </c>
      <c r="B100" s="58" t="s">
        <v>103</v>
      </c>
      <c r="C100" s="51">
        <v>226</v>
      </c>
      <c r="D100" s="33">
        <f t="shared" si="29"/>
        <v>0</v>
      </c>
      <c r="E100" s="33">
        <f t="shared" si="30"/>
        <v>0</v>
      </c>
      <c r="F100" s="91" t="e">
        <f t="shared" si="43"/>
        <v>#DIV/0!</v>
      </c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</row>
    <row r="101" spans="1:20" s="27" customFormat="1" ht="33" hidden="1" x14ac:dyDescent="0.25">
      <c r="A101" s="63" t="s">
        <v>102</v>
      </c>
      <c r="B101" s="58" t="s">
        <v>103</v>
      </c>
      <c r="C101" s="51">
        <v>310</v>
      </c>
      <c r="D101" s="33">
        <f t="shared" si="29"/>
        <v>0</v>
      </c>
      <c r="E101" s="33">
        <f t="shared" si="30"/>
        <v>0</v>
      </c>
      <c r="F101" s="91" t="e">
        <f t="shared" si="43"/>
        <v>#DIV/0!</v>
      </c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</row>
    <row r="102" spans="1:20" s="27" customFormat="1" ht="16.5" hidden="1" x14ac:dyDescent="0.25">
      <c r="A102" s="63" t="s">
        <v>104</v>
      </c>
      <c r="B102" s="58" t="s">
        <v>105</v>
      </c>
      <c r="C102" s="51">
        <v>226</v>
      </c>
      <c r="D102" s="33">
        <f t="shared" si="29"/>
        <v>0</v>
      </c>
      <c r="E102" s="33">
        <f t="shared" si="30"/>
        <v>0</v>
      </c>
      <c r="F102" s="91" t="e">
        <f t="shared" si="43"/>
        <v>#DIV/0!</v>
      </c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</row>
    <row r="103" spans="1:20" s="27" customFormat="1" ht="16.5" hidden="1" x14ac:dyDescent="0.25">
      <c r="A103" s="63" t="s">
        <v>104</v>
      </c>
      <c r="B103" s="58" t="s">
        <v>105</v>
      </c>
      <c r="C103" s="51">
        <v>310</v>
      </c>
      <c r="D103" s="33">
        <f t="shared" si="29"/>
        <v>0</v>
      </c>
      <c r="E103" s="33">
        <f t="shared" si="30"/>
        <v>0</v>
      </c>
      <c r="F103" s="91" t="e">
        <f t="shared" si="43"/>
        <v>#DIV/0!</v>
      </c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</row>
    <row r="104" spans="1:20" s="27" customFormat="1" ht="16.5" hidden="1" x14ac:dyDescent="0.25">
      <c r="A104" s="63" t="s">
        <v>106</v>
      </c>
      <c r="B104" s="28" t="s">
        <v>107</v>
      </c>
      <c r="C104" s="51">
        <v>340</v>
      </c>
      <c r="D104" s="33">
        <f t="shared" si="29"/>
        <v>0</v>
      </c>
      <c r="E104" s="33">
        <f t="shared" si="30"/>
        <v>0</v>
      </c>
      <c r="F104" s="91" t="e">
        <f t="shared" si="43"/>
        <v>#DIV/0!</v>
      </c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</row>
    <row r="105" spans="1:20" s="27" customFormat="1" ht="16.5" hidden="1" x14ac:dyDescent="0.25">
      <c r="A105" s="63" t="s">
        <v>108</v>
      </c>
      <c r="B105" s="58" t="s">
        <v>109</v>
      </c>
      <c r="C105" s="51">
        <v>226</v>
      </c>
      <c r="D105" s="33">
        <f t="shared" si="29"/>
        <v>0</v>
      </c>
      <c r="E105" s="33">
        <f t="shared" si="30"/>
        <v>0</v>
      </c>
      <c r="F105" s="91" t="e">
        <f t="shared" si="43"/>
        <v>#DIV/0!</v>
      </c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</row>
    <row r="106" spans="1:20" s="27" customFormat="1" ht="16.5" hidden="1" x14ac:dyDescent="0.25">
      <c r="A106" s="63" t="s">
        <v>108</v>
      </c>
      <c r="B106" s="58" t="s">
        <v>109</v>
      </c>
      <c r="C106" s="51">
        <v>310</v>
      </c>
      <c r="D106" s="33">
        <f t="shared" si="29"/>
        <v>0</v>
      </c>
      <c r="E106" s="33">
        <f t="shared" si="30"/>
        <v>0</v>
      </c>
      <c r="F106" s="91" t="e">
        <f t="shared" si="43"/>
        <v>#DIV/0!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</row>
    <row r="107" spans="1:20" s="27" customFormat="1" ht="16.5" x14ac:dyDescent="0.25">
      <c r="A107" s="63" t="s">
        <v>110</v>
      </c>
      <c r="B107" s="58" t="s">
        <v>111</v>
      </c>
      <c r="C107" s="51">
        <v>226</v>
      </c>
      <c r="D107" s="33">
        <f t="shared" si="29"/>
        <v>50000</v>
      </c>
      <c r="E107" s="33">
        <f t="shared" si="30"/>
        <v>0</v>
      </c>
      <c r="F107" s="91">
        <f t="shared" si="43"/>
        <v>0</v>
      </c>
      <c r="G107" s="38">
        <v>50000</v>
      </c>
      <c r="H107" s="38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</row>
    <row r="108" spans="1:20" s="27" customFormat="1" ht="16.5" x14ac:dyDescent="0.25">
      <c r="A108" s="63" t="s">
        <v>112</v>
      </c>
      <c r="B108" s="58" t="s">
        <v>113</v>
      </c>
      <c r="C108" s="51">
        <v>226</v>
      </c>
      <c r="D108" s="33">
        <f t="shared" si="29"/>
        <v>30000</v>
      </c>
      <c r="E108" s="33">
        <f t="shared" si="30"/>
        <v>0</v>
      </c>
      <c r="F108" s="91">
        <f t="shared" si="43"/>
        <v>0</v>
      </c>
      <c r="G108" s="38">
        <v>30000</v>
      </c>
      <c r="H108" s="38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</row>
    <row r="109" spans="1:20" s="27" customFormat="1" ht="33" hidden="1" x14ac:dyDescent="0.25">
      <c r="A109" s="63" t="s">
        <v>114</v>
      </c>
      <c r="B109" s="58" t="s">
        <v>115</v>
      </c>
      <c r="C109" s="51">
        <v>225</v>
      </c>
      <c r="D109" s="33">
        <f t="shared" si="29"/>
        <v>0</v>
      </c>
      <c r="E109" s="33">
        <f t="shared" si="30"/>
        <v>0</v>
      </c>
      <c r="F109" s="91" t="e">
        <f t="shared" si="43"/>
        <v>#DIV/0!</v>
      </c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</row>
    <row r="110" spans="1:20" s="27" customFormat="1" ht="16.5" x14ac:dyDescent="0.25">
      <c r="A110" s="63" t="s">
        <v>116</v>
      </c>
      <c r="B110" s="58" t="s">
        <v>117</v>
      </c>
      <c r="C110" s="51">
        <v>225</v>
      </c>
      <c r="D110" s="33">
        <f t="shared" si="29"/>
        <v>277288</v>
      </c>
      <c r="E110" s="33">
        <f t="shared" si="30"/>
        <v>0</v>
      </c>
      <c r="F110" s="91">
        <f t="shared" si="43"/>
        <v>0</v>
      </c>
      <c r="G110" s="38">
        <v>277288</v>
      </c>
      <c r="H110" s="38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</row>
    <row r="111" spans="1:20" s="27" customFormat="1" ht="16.5" hidden="1" x14ac:dyDescent="0.25">
      <c r="A111" s="63" t="s">
        <v>118</v>
      </c>
      <c r="B111" s="58" t="s">
        <v>119</v>
      </c>
      <c r="C111" s="51">
        <v>225</v>
      </c>
      <c r="D111" s="33">
        <f t="shared" si="29"/>
        <v>0</v>
      </c>
      <c r="E111" s="33">
        <f t="shared" si="30"/>
        <v>0</v>
      </c>
      <c r="F111" s="91" t="e">
        <f t="shared" si="43"/>
        <v>#DIV/0!</v>
      </c>
      <c r="G111" s="38"/>
      <c r="H111" s="38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</row>
    <row r="112" spans="1:20" s="27" customFormat="1" ht="16.5" hidden="1" x14ac:dyDescent="0.25">
      <c r="A112" s="63" t="s">
        <v>118</v>
      </c>
      <c r="B112" s="58" t="s">
        <v>119</v>
      </c>
      <c r="C112" s="51">
        <v>340</v>
      </c>
      <c r="D112" s="33">
        <f t="shared" si="29"/>
        <v>0</v>
      </c>
      <c r="E112" s="33">
        <f t="shared" si="30"/>
        <v>0</v>
      </c>
      <c r="F112" s="91" t="e">
        <f t="shared" si="43"/>
        <v>#DIV/0!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</row>
    <row r="113" spans="1:20" s="27" customFormat="1" ht="16.5" hidden="1" x14ac:dyDescent="0.25">
      <c r="A113" s="63" t="s">
        <v>120</v>
      </c>
      <c r="B113" s="58" t="s">
        <v>121</v>
      </c>
      <c r="C113" s="51">
        <v>225</v>
      </c>
      <c r="D113" s="33">
        <f t="shared" si="29"/>
        <v>0</v>
      </c>
      <c r="E113" s="33">
        <f t="shared" si="30"/>
        <v>0</v>
      </c>
      <c r="F113" s="91" t="e">
        <f t="shared" si="43"/>
        <v>#DIV/0!</v>
      </c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</row>
    <row r="114" spans="1:20" s="27" customFormat="1" ht="16.5" hidden="1" x14ac:dyDescent="0.25">
      <c r="A114" s="63" t="s">
        <v>122</v>
      </c>
      <c r="B114" s="58" t="s">
        <v>123</v>
      </c>
      <c r="C114" s="51">
        <v>225</v>
      </c>
      <c r="D114" s="33">
        <f t="shared" si="29"/>
        <v>0</v>
      </c>
      <c r="E114" s="33">
        <f t="shared" si="30"/>
        <v>0</v>
      </c>
      <c r="F114" s="91" t="e">
        <f t="shared" si="43"/>
        <v>#DIV/0!</v>
      </c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</row>
    <row r="115" spans="1:20" s="27" customFormat="1" ht="16.5" hidden="1" x14ac:dyDescent="0.25">
      <c r="A115" s="63" t="s">
        <v>122</v>
      </c>
      <c r="B115" s="58" t="s">
        <v>123</v>
      </c>
      <c r="C115" s="51">
        <v>310</v>
      </c>
      <c r="D115" s="33">
        <f t="shared" si="29"/>
        <v>0</v>
      </c>
      <c r="E115" s="33">
        <f t="shared" si="30"/>
        <v>0</v>
      </c>
      <c r="F115" s="91" t="e">
        <f t="shared" si="43"/>
        <v>#DIV/0!</v>
      </c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</row>
    <row r="116" spans="1:20" s="27" customFormat="1" ht="16.5" hidden="1" x14ac:dyDescent="0.25">
      <c r="A116" s="63" t="s">
        <v>124</v>
      </c>
      <c r="B116" s="58" t="s">
        <v>125</v>
      </c>
      <c r="C116" s="51">
        <v>225</v>
      </c>
      <c r="D116" s="33">
        <f t="shared" si="29"/>
        <v>0</v>
      </c>
      <c r="E116" s="33">
        <f t="shared" si="30"/>
        <v>0</v>
      </c>
      <c r="F116" s="91" t="e">
        <f t="shared" si="43"/>
        <v>#DIV/0!</v>
      </c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</row>
    <row r="117" spans="1:20" s="29" customFormat="1" ht="16.5" hidden="1" x14ac:dyDescent="0.25">
      <c r="A117" s="63" t="s">
        <v>126</v>
      </c>
      <c r="B117" s="28" t="s">
        <v>127</v>
      </c>
      <c r="C117" s="51">
        <v>226</v>
      </c>
      <c r="D117" s="33">
        <f t="shared" si="29"/>
        <v>0</v>
      </c>
      <c r="E117" s="33">
        <f t="shared" si="30"/>
        <v>0</v>
      </c>
      <c r="F117" s="91" t="e">
        <f t="shared" si="43"/>
        <v>#DIV/0!</v>
      </c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</row>
    <row r="118" spans="1:20" s="18" customFormat="1" ht="17.25" hidden="1" x14ac:dyDescent="0.25">
      <c r="A118" s="61" t="s">
        <v>128</v>
      </c>
      <c r="B118" s="62" t="s">
        <v>129</v>
      </c>
      <c r="C118" s="49"/>
      <c r="D118" s="33">
        <f t="shared" si="29"/>
        <v>0</v>
      </c>
      <c r="E118" s="33">
        <f t="shared" si="30"/>
        <v>0</v>
      </c>
      <c r="F118" s="91" t="e">
        <f t="shared" si="43"/>
        <v>#DIV/0!</v>
      </c>
      <c r="G118" s="34">
        <f t="shared" ref="G118:S118" si="50">SUM(G119:G122)</f>
        <v>0</v>
      </c>
      <c r="H118" s="34"/>
      <c r="I118" s="34">
        <f t="shared" si="50"/>
        <v>0</v>
      </c>
      <c r="J118" s="34"/>
      <c r="K118" s="34">
        <f t="shared" si="50"/>
        <v>0</v>
      </c>
      <c r="L118" s="34"/>
      <c r="M118" s="34">
        <f t="shared" si="50"/>
        <v>0</v>
      </c>
      <c r="N118" s="34"/>
      <c r="O118" s="34">
        <f t="shared" si="50"/>
        <v>0</v>
      </c>
      <c r="P118" s="34"/>
      <c r="Q118" s="34"/>
      <c r="R118" s="34"/>
      <c r="S118" s="34">
        <f t="shared" si="50"/>
        <v>0</v>
      </c>
      <c r="T118" s="34">
        <f t="shared" ref="T118" si="51">SUM(T119:T122)</f>
        <v>0</v>
      </c>
    </row>
    <row r="119" spans="1:20" s="27" customFormat="1" ht="16.5" hidden="1" x14ac:dyDescent="0.25">
      <c r="A119" s="63" t="s">
        <v>130</v>
      </c>
      <c r="B119" s="58" t="s">
        <v>131</v>
      </c>
      <c r="C119" s="51">
        <v>310</v>
      </c>
      <c r="D119" s="33">
        <f t="shared" si="29"/>
        <v>0</v>
      </c>
      <c r="E119" s="33">
        <f t="shared" si="30"/>
        <v>0</v>
      </c>
      <c r="F119" s="91" t="e">
        <f t="shared" si="43"/>
        <v>#DIV/0!</v>
      </c>
      <c r="G119" s="21"/>
      <c r="H119" s="21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21"/>
      <c r="T119" s="21"/>
    </row>
    <row r="120" spans="1:20" s="27" customFormat="1" ht="33" hidden="1" x14ac:dyDescent="0.25">
      <c r="A120" s="63" t="s">
        <v>132</v>
      </c>
      <c r="B120" s="58" t="s">
        <v>133</v>
      </c>
      <c r="C120" s="51">
        <v>310</v>
      </c>
      <c r="D120" s="33">
        <f t="shared" si="29"/>
        <v>0</v>
      </c>
      <c r="E120" s="33">
        <f t="shared" si="30"/>
        <v>0</v>
      </c>
      <c r="F120" s="91" t="e">
        <f t="shared" si="43"/>
        <v>#DIV/0!</v>
      </c>
      <c r="G120" s="21"/>
      <c r="H120" s="21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21"/>
      <c r="T120" s="21"/>
    </row>
    <row r="121" spans="1:20" s="27" customFormat="1" ht="16.5" hidden="1" x14ac:dyDescent="0.25">
      <c r="A121" s="63" t="s">
        <v>134</v>
      </c>
      <c r="B121" s="58" t="s">
        <v>135</v>
      </c>
      <c r="C121" s="51">
        <v>310</v>
      </c>
      <c r="D121" s="33">
        <f t="shared" si="29"/>
        <v>0</v>
      </c>
      <c r="E121" s="33">
        <f t="shared" si="30"/>
        <v>0</v>
      </c>
      <c r="F121" s="91" t="e">
        <f t="shared" si="43"/>
        <v>#DIV/0!</v>
      </c>
      <c r="G121" s="21"/>
      <c r="H121" s="21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21"/>
      <c r="T121" s="21"/>
    </row>
    <row r="122" spans="1:20" s="27" customFormat="1" ht="16.5" hidden="1" x14ac:dyDescent="0.25">
      <c r="A122" s="63" t="s">
        <v>136</v>
      </c>
      <c r="B122" s="58" t="s">
        <v>137</v>
      </c>
      <c r="C122" s="51">
        <v>226</v>
      </c>
      <c r="D122" s="33">
        <f t="shared" si="29"/>
        <v>0</v>
      </c>
      <c r="E122" s="33">
        <f t="shared" si="30"/>
        <v>0</v>
      </c>
      <c r="F122" s="91" t="e">
        <f t="shared" si="43"/>
        <v>#DIV/0!</v>
      </c>
      <c r="G122" s="21"/>
      <c r="H122" s="21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21"/>
      <c r="T122" s="21"/>
    </row>
    <row r="123" spans="1:20" s="18" customFormat="1" ht="34.5" x14ac:dyDescent="0.25">
      <c r="A123" s="61" t="s">
        <v>287</v>
      </c>
      <c r="B123" s="62" t="s">
        <v>288</v>
      </c>
      <c r="C123" s="49"/>
      <c r="D123" s="33">
        <f t="shared" si="29"/>
        <v>830000</v>
      </c>
      <c r="E123" s="33">
        <f t="shared" si="30"/>
        <v>99999</v>
      </c>
      <c r="F123" s="91">
        <f t="shared" si="43"/>
        <v>12.048072289156627</v>
      </c>
      <c r="G123" s="25">
        <f>SUM(G124:G128)</f>
        <v>830000</v>
      </c>
      <c r="H123" s="25">
        <f t="shared" ref="H123:S123" si="52">SUM(H124:H128)</f>
        <v>99999</v>
      </c>
      <c r="I123" s="25">
        <f t="shared" si="52"/>
        <v>0</v>
      </c>
      <c r="J123" s="25">
        <f t="shared" si="52"/>
        <v>0</v>
      </c>
      <c r="K123" s="25">
        <f t="shared" si="52"/>
        <v>0</v>
      </c>
      <c r="L123" s="25">
        <f t="shared" si="52"/>
        <v>0</v>
      </c>
      <c r="M123" s="25">
        <f t="shared" si="52"/>
        <v>0</v>
      </c>
      <c r="N123" s="25">
        <f t="shared" si="52"/>
        <v>0</v>
      </c>
      <c r="O123" s="25">
        <f t="shared" si="52"/>
        <v>0</v>
      </c>
      <c r="P123" s="25">
        <f t="shared" si="52"/>
        <v>0</v>
      </c>
      <c r="Q123" s="25">
        <f t="shared" si="52"/>
        <v>0</v>
      </c>
      <c r="R123" s="25">
        <f t="shared" si="52"/>
        <v>0</v>
      </c>
      <c r="S123" s="25">
        <f t="shared" si="52"/>
        <v>0</v>
      </c>
      <c r="T123" s="25">
        <f t="shared" ref="T123" si="53">SUM(T124:T128)</f>
        <v>0</v>
      </c>
    </row>
    <row r="124" spans="1:20" s="27" customFormat="1" ht="16.5" x14ac:dyDescent="0.25">
      <c r="A124" s="63" t="s">
        <v>287</v>
      </c>
      <c r="B124" s="64" t="s">
        <v>140</v>
      </c>
      <c r="C124" s="51">
        <v>226</v>
      </c>
      <c r="D124" s="33">
        <f t="shared" si="29"/>
        <v>830000</v>
      </c>
      <c r="E124" s="33">
        <f t="shared" si="30"/>
        <v>99999</v>
      </c>
      <c r="F124" s="91">
        <f t="shared" si="43"/>
        <v>12.048072289156627</v>
      </c>
      <c r="G124" s="38">
        <f>704500+125500</f>
        <v>830000</v>
      </c>
      <c r="H124" s="38">
        <v>99999</v>
      </c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21"/>
      <c r="T124" s="21"/>
    </row>
    <row r="125" spans="1:20" s="27" customFormat="1" ht="16.5" x14ac:dyDescent="0.25">
      <c r="A125" s="63"/>
      <c r="B125" s="64"/>
      <c r="C125" s="51"/>
      <c r="D125" s="33"/>
      <c r="E125" s="33"/>
      <c r="F125" s="91"/>
      <c r="G125" s="38"/>
      <c r="H125" s="38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21"/>
      <c r="T125" s="21"/>
    </row>
    <row r="126" spans="1:20" s="27" customFormat="1" ht="16.5" x14ac:dyDescent="0.25">
      <c r="A126" s="63" t="s">
        <v>287</v>
      </c>
      <c r="B126" s="58" t="s">
        <v>290</v>
      </c>
      <c r="C126" s="51">
        <v>310</v>
      </c>
      <c r="D126" s="33">
        <f t="shared" si="29"/>
        <v>0</v>
      </c>
      <c r="E126" s="33">
        <f t="shared" si="30"/>
        <v>0</v>
      </c>
      <c r="F126" s="91" t="e">
        <f t="shared" si="43"/>
        <v>#DIV/0!</v>
      </c>
      <c r="G126" s="21"/>
      <c r="H126" s="21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21"/>
      <c r="T126" s="21"/>
    </row>
    <row r="127" spans="1:20" s="27" customFormat="1" ht="16.5" x14ac:dyDescent="0.25">
      <c r="A127" s="63"/>
      <c r="B127" s="58"/>
      <c r="C127" s="51"/>
      <c r="D127" s="33"/>
      <c r="E127" s="33"/>
      <c r="F127" s="91"/>
      <c r="G127" s="21"/>
      <c r="H127" s="21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21"/>
      <c r="T127" s="21"/>
    </row>
    <row r="128" spans="1:20" s="27" customFormat="1" ht="16.5" x14ac:dyDescent="0.25">
      <c r="A128" s="63" t="s">
        <v>287</v>
      </c>
      <c r="B128" s="58" t="s">
        <v>290</v>
      </c>
      <c r="C128" s="51">
        <v>212</v>
      </c>
      <c r="D128" s="33">
        <f t="shared" si="29"/>
        <v>0</v>
      </c>
      <c r="E128" s="33">
        <f t="shared" si="30"/>
        <v>0</v>
      </c>
      <c r="F128" s="91" t="e">
        <f t="shared" si="43"/>
        <v>#DIV/0!</v>
      </c>
      <c r="G128" s="21"/>
      <c r="H128" s="21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21"/>
      <c r="T128" s="21"/>
    </row>
    <row r="129" spans="1:20" s="18" customFormat="1" ht="17.25" x14ac:dyDescent="0.25">
      <c r="A129" s="65" t="s">
        <v>138</v>
      </c>
      <c r="B129" s="66" t="s">
        <v>139</v>
      </c>
      <c r="C129" s="67"/>
      <c r="D129" s="34">
        <f>SUM(D130:D134)</f>
        <v>425000</v>
      </c>
      <c r="E129" s="34">
        <f>SUM(E130:E134)</f>
        <v>324119.8</v>
      </c>
      <c r="F129" s="91">
        <f t="shared" si="43"/>
        <v>76.263482352941168</v>
      </c>
      <c r="G129" s="34">
        <f>SUM(G130:G134)</f>
        <v>425000</v>
      </c>
      <c r="H129" s="34">
        <f t="shared" ref="H129:P129" si="54">SUM(H130:H134)</f>
        <v>324119.8</v>
      </c>
      <c r="I129" s="34">
        <f t="shared" si="54"/>
        <v>0</v>
      </c>
      <c r="J129" s="34">
        <f t="shared" si="54"/>
        <v>0</v>
      </c>
      <c r="K129" s="34">
        <f t="shared" si="54"/>
        <v>0</v>
      </c>
      <c r="L129" s="34">
        <f t="shared" si="54"/>
        <v>0</v>
      </c>
      <c r="M129" s="34">
        <f t="shared" si="54"/>
        <v>0</v>
      </c>
      <c r="N129" s="34">
        <f t="shared" si="54"/>
        <v>0</v>
      </c>
      <c r="O129" s="34">
        <f t="shared" si="54"/>
        <v>0</v>
      </c>
      <c r="P129" s="34">
        <f t="shared" si="54"/>
        <v>0</v>
      </c>
      <c r="Q129" s="34">
        <f t="shared" ref="Q129:T129" si="55">SUM(Q130:Q130)</f>
        <v>0</v>
      </c>
      <c r="R129" s="34">
        <f t="shared" si="55"/>
        <v>0</v>
      </c>
      <c r="S129" s="34">
        <f t="shared" si="55"/>
        <v>0</v>
      </c>
      <c r="T129" s="34">
        <f t="shared" si="55"/>
        <v>0</v>
      </c>
    </row>
    <row r="130" spans="1:20" s="29" customFormat="1" ht="16.5" x14ac:dyDescent="0.25">
      <c r="A130" s="68"/>
      <c r="B130" s="64" t="s">
        <v>140</v>
      </c>
      <c r="C130" s="69">
        <v>226</v>
      </c>
      <c r="D130" s="33">
        <f t="shared" si="29"/>
        <v>240953.44</v>
      </c>
      <c r="E130" s="33">
        <f t="shared" si="30"/>
        <v>80021.100000000006</v>
      </c>
      <c r="F130" s="91">
        <f t="shared" si="43"/>
        <v>33.210191977338035</v>
      </c>
      <c r="G130" s="38">
        <v>240953.44</v>
      </c>
      <c r="H130" s="82">
        <v>80021.100000000006</v>
      </c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21"/>
      <c r="T130" s="21"/>
    </row>
    <row r="131" spans="1:20" s="29" customFormat="1" ht="16.5" x14ac:dyDescent="0.25">
      <c r="A131" s="68"/>
      <c r="B131" s="64" t="s">
        <v>140</v>
      </c>
      <c r="C131" s="69">
        <v>222</v>
      </c>
      <c r="D131" s="33">
        <f t="shared" ref="D131:D134" si="56">SUM(G131+I131+K131+M131+O131+Q131+S131)</f>
        <v>0</v>
      </c>
      <c r="E131" s="33">
        <f t="shared" ref="E131:E134" si="57">SUM(H131+J131+L131+N131+P131+R131+T131)</f>
        <v>0</v>
      </c>
      <c r="F131" s="91"/>
      <c r="G131" s="38"/>
      <c r="H131" s="82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21"/>
      <c r="T131" s="21"/>
    </row>
    <row r="132" spans="1:20" s="29" customFormat="1" ht="16.5" x14ac:dyDescent="0.25">
      <c r="A132" s="68"/>
      <c r="B132" s="64" t="s">
        <v>140</v>
      </c>
      <c r="C132" s="69">
        <v>290</v>
      </c>
      <c r="D132" s="33">
        <f t="shared" si="56"/>
        <v>162204.26</v>
      </c>
      <c r="E132" s="33">
        <f t="shared" si="57"/>
        <v>160973</v>
      </c>
      <c r="F132" s="91">
        <f t="shared" si="43"/>
        <v>99.240920059682765</v>
      </c>
      <c r="G132" s="38">
        <v>162204.26</v>
      </c>
      <c r="H132" s="82">
        <v>160973</v>
      </c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21"/>
      <c r="T132" s="21"/>
    </row>
    <row r="133" spans="1:20" s="29" customFormat="1" ht="16.5" x14ac:dyDescent="0.25">
      <c r="A133" s="68"/>
      <c r="B133" s="64" t="s">
        <v>140</v>
      </c>
      <c r="C133" s="69">
        <v>310</v>
      </c>
      <c r="D133" s="33">
        <f t="shared" si="56"/>
        <v>0</v>
      </c>
      <c r="E133" s="33">
        <f t="shared" si="57"/>
        <v>0</v>
      </c>
      <c r="F133" s="91"/>
      <c r="G133" s="38"/>
      <c r="H133" s="82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21"/>
      <c r="T133" s="21"/>
    </row>
    <row r="134" spans="1:20" s="29" customFormat="1" ht="16.5" x14ac:dyDescent="0.25">
      <c r="A134" s="68"/>
      <c r="B134" s="64" t="s">
        <v>140</v>
      </c>
      <c r="C134" s="69">
        <v>340</v>
      </c>
      <c r="D134" s="33">
        <f t="shared" si="56"/>
        <v>21842.3</v>
      </c>
      <c r="E134" s="33">
        <f t="shared" si="57"/>
        <v>83125.7</v>
      </c>
      <c r="F134" s="91">
        <f t="shared" si="43"/>
        <v>380.57210092343757</v>
      </c>
      <c r="G134" s="38">
        <v>21842.3</v>
      </c>
      <c r="H134" s="82">
        <v>83125.7</v>
      </c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21"/>
      <c r="T134" s="21"/>
    </row>
    <row r="135" spans="1:20" s="18" customFormat="1" ht="17.25" x14ac:dyDescent="0.25">
      <c r="A135" s="61" t="s">
        <v>141</v>
      </c>
      <c r="B135" s="62" t="s">
        <v>142</v>
      </c>
      <c r="C135" s="49"/>
      <c r="D135" s="33">
        <f t="shared" si="29"/>
        <v>993581.43000000017</v>
      </c>
      <c r="E135" s="33">
        <f t="shared" si="30"/>
        <v>0</v>
      </c>
      <c r="F135" s="91">
        <f t="shared" si="43"/>
        <v>0</v>
      </c>
      <c r="G135" s="34">
        <f t="shared" ref="G135:S135" si="58">SUM(G136:G164)</f>
        <v>993581.43000000017</v>
      </c>
      <c r="H135" s="34">
        <f t="shared" si="58"/>
        <v>0</v>
      </c>
      <c r="I135" s="34">
        <f t="shared" si="58"/>
        <v>0</v>
      </c>
      <c r="J135" s="34">
        <f t="shared" si="58"/>
        <v>0</v>
      </c>
      <c r="K135" s="34">
        <f t="shared" si="58"/>
        <v>0</v>
      </c>
      <c r="L135" s="34">
        <f t="shared" si="58"/>
        <v>0</v>
      </c>
      <c r="M135" s="34">
        <f t="shared" si="58"/>
        <v>0</v>
      </c>
      <c r="N135" s="34">
        <f t="shared" si="58"/>
        <v>0</v>
      </c>
      <c r="O135" s="34">
        <f t="shared" si="58"/>
        <v>0</v>
      </c>
      <c r="P135" s="34">
        <f t="shared" si="58"/>
        <v>0</v>
      </c>
      <c r="Q135" s="34">
        <f t="shared" si="58"/>
        <v>0</v>
      </c>
      <c r="R135" s="34">
        <f t="shared" si="58"/>
        <v>0</v>
      </c>
      <c r="S135" s="34">
        <f t="shared" si="58"/>
        <v>0</v>
      </c>
      <c r="T135" s="34">
        <f t="shared" ref="T135" si="59">SUM(T136:T164)</f>
        <v>0</v>
      </c>
    </row>
    <row r="136" spans="1:20" s="29" customFormat="1" ht="16.5" hidden="1" x14ac:dyDescent="0.25">
      <c r="A136" s="63" t="s">
        <v>143</v>
      </c>
      <c r="B136" s="58" t="s">
        <v>144</v>
      </c>
      <c r="C136" s="51">
        <v>226</v>
      </c>
      <c r="D136" s="33">
        <f t="shared" si="29"/>
        <v>0</v>
      </c>
      <c r="E136" s="33">
        <f t="shared" si="30"/>
        <v>0</v>
      </c>
      <c r="F136" s="91" t="e">
        <f t="shared" si="43"/>
        <v>#DIV/0!</v>
      </c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</row>
    <row r="137" spans="1:20" s="6" customFormat="1" ht="16.5" hidden="1" x14ac:dyDescent="0.25">
      <c r="A137" s="63" t="s">
        <v>143</v>
      </c>
      <c r="B137" s="58" t="s">
        <v>144</v>
      </c>
      <c r="C137" s="51">
        <v>310</v>
      </c>
      <c r="D137" s="33">
        <f t="shared" si="29"/>
        <v>0</v>
      </c>
      <c r="E137" s="33">
        <f t="shared" si="30"/>
        <v>0</v>
      </c>
      <c r="F137" s="91" t="e">
        <f t="shared" si="43"/>
        <v>#DIV/0!</v>
      </c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</row>
    <row r="138" spans="1:20" s="6" customFormat="1" ht="16.5" hidden="1" x14ac:dyDescent="0.25">
      <c r="A138" s="63" t="s">
        <v>145</v>
      </c>
      <c r="B138" s="58" t="s">
        <v>146</v>
      </c>
      <c r="C138" s="51">
        <v>226</v>
      </c>
      <c r="D138" s="33">
        <f t="shared" si="29"/>
        <v>0</v>
      </c>
      <c r="E138" s="33">
        <f t="shared" si="30"/>
        <v>0</v>
      </c>
      <c r="F138" s="91" t="e">
        <f t="shared" si="43"/>
        <v>#DIV/0!</v>
      </c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</row>
    <row r="139" spans="1:20" s="6" customFormat="1" ht="16.5" hidden="1" x14ac:dyDescent="0.25">
      <c r="A139" s="63" t="s">
        <v>145</v>
      </c>
      <c r="B139" s="58" t="s">
        <v>146</v>
      </c>
      <c r="C139" s="51">
        <v>310</v>
      </c>
      <c r="D139" s="33">
        <f t="shared" si="29"/>
        <v>0</v>
      </c>
      <c r="E139" s="33">
        <f t="shared" si="30"/>
        <v>0</v>
      </c>
      <c r="F139" s="91" t="e">
        <f t="shared" si="43"/>
        <v>#DIV/0!</v>
      </c>
      <c r="G139" s="38"/>
      <c r="H139" s="38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</row>
    <row r="140" spans="1:20" s="6" customFormat="1" ht="16.5" hidden="1" x14ac:dyDescent="0.25">
      <c r="A140" s="63" t="s">
        <v>147</v>
      </c>
      <c r="B140" s="58" t="s">
        <v>148</v>
      </c>
      <c r="C140" s="51">
        <v>310</v>
      </c>
      <c r="D140" s="33">
        <f t="shared" si="29"/>
        <v>0</v>
      </c>
      <c r="E140" s="33">
        <f t="shared" si="30"/>
        <v>0</v>
      </c>
      <c r="F140" s="91" t="e">
        <f t="shared" si="43"/>
        <v>#DIV/0!</v>
      </c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</row>
    <row r="141" spans="1:20" s="6" customFormat="1" ht="33" hidden="1" x14ac:dyDescent="0.25">
      <c r="A141" s="63" t="s">
        <v>149</v>
      </c>
      <c r="B141" s="58" t="s">
        <v>150</v>
      </c>
      <c r="C141" s="51">
        <v>310</v>
      </c>
      <c r="D141" s="33">
        <f t="shared" si="29"/>
        <v>0</v>
      </c>
      <c r="E141" s="33">
        <f t="shared" si="30"/>
        <v>0</v>
      </c>
      <c r="F141" s="91" t="e">
        <f t="shared" si="43"/>
        <v>#DIV/0!</v>
      </c>
      <c r="G141" s="38"/>
      <c r="H141" s="38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</row>
    <row r="142" spans="1:20" s="6" customFormat="1" ht="33" hidden="1" x14ac:dyDescent="0.25">
      <c r="A142" s="63" t="s">
        <v>151</v>
      </c>
      <c r="B142" s="58" t="s">
        <v>152</v>
      </c>
      <c r="C142" s="51">
        <v>310</v>
      </c>
      <c r="D142" s="33">
        <f t="shared" si="29"/>
        <v>0</v>
      </c>
      <c r="E142" s="33">
        <f t="shared" si="30"/>
        <v>0</v>
      </c>
      <c r="F142" s="91" t="e">
        <f t="shared" si="43"/>
        <v>#DIV/0!</v>
      </c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</row>
    <row r="143" spans="1:20" s="6" customFormat="1" ht="33" hidden="1" x14ac:dyDescent="0.25">
      <c r="A143" s="63" t="s">
        <v>153</v>
      </c>
      <c r="B143" s="28" t="s">
        <v>154</v>
      </c>
      <c r="C143" s="51">
        <v>226</v>
      </c>
      <c r="D143" s="33">
        <f t="shared" si="29"/>
        <v>0</v>
      </c>
      <c r="E143" s="33">
        <f t="shared" si="30"/>
        <v>0</v>
      </c>
      <c r="F143" s="91" t="e">
        <f t="shared" si="43"/>
        <v>#DIV/0!</v>
      </c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</row>
    <row r="144" spans="1:20" s="6" customFormat="1" ht="16.5" hidden="1" x14ac:dyDescent="0.25">
      <c r="A144" s="63" t="s">
        <v>155</v>
      </c>
      <c r="B144" s="28" t="s">
        <v>156</v>
      </c>
      <c r="C144" s="51">
        <v>226</v>
      </c>
      <c r="D144" s="33">
        <f t="shared" si="29"/>
        <v>0</v>
      </c>
      <c r="E144" s="33">
        <f t="shared" si="30"/>
        <v>0</v>
      </c>
      <c r="F144" s="91" t="e">
        <f t="shared" si="43"/>
        <v>#DIV/0!</v>
      </c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</row>
    <row r="145" spans="1:20" s="6" customFormat="1" ht="16.5" hidden="1" x14ac:dyDescent="0.25">
      <c r="A145" s="63" t="s">
        <v>155</v>
      </c>
      <c r="B145" s="28" t="s">
        <v>157</v>
      </c>
      <c r="C145" s="51">
        <v>310</v>
      </c>
      <c r="D145" s="33">
        <f t="shared" si="29"/>
        <v>0</v>
      </c>
      <c r="E145" s="33">
        <f t="shared" si="30"/>
        <v>0</v>
      </c>
      <c r="F145" s="91" t="e">
        <f t="shared" si="43"/>
        <v>#DIV/0!</v>
      </c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</row>
    <row r="146" spans="1:20" s="6" customFormat="1" ht="16.5" hidden="1" x14ac:dyDescent="0.25">
      <c r="A146" s="63" t="s">
        <v>155</v>
      </c>
      <c r="B146" s="28" t="s">
        <v>157</v>
      </c>
      <c r="C146" s="51">
        <v>340</v>
      </c>
      <c r="D146" s="33">
        <f t="shared" si="29"/>
        <v>0</v>
      </c>
      <c r="E146" s="33">
        <f t="shared" si="30"/>
        <v>0</v>
      </c>
      <c r="F146" s="91" t="e">
        <f t="shared" si="43"/>
        <v>#DIV/0!</v>
      </c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</row>
    <row r="147" spans="1:20" s="6" customFormat="1" ht="16.5" hidden="1" x14ac:dyDescent="0.25">
      <c r="A147" s="63" t="s">
        <v>158</v>
      </c>
      <c r="B147" s="28" t="s">
        <v>159</v>
      </c>
      <c r="C147" s="51">
        <v>226</v>
      </c>
      <c r="D147" s="33">
        <f t="shared" si="29"/>
        <v>0</v>
      </c>
      <c r="E147" s="33">
        <f t="shared" si="30"/>
        <v>0</v>
      </c>
      <c r="F147" s="91" t="e">
        <f t="shared" si="43"/>
        <v>#DIV/0!</v>
      </c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</row>
    <row r="148" spans="1:20" s="6" customFormat="1" ht="33" hidden="1" x14ac:dyDescent="0.25">
      <c r="A148" s="63" t="s">
        <v>160</v>
      </c>
      <c r="B148" s="28" t="s">
        <v>282</v>
      </c>
      <c r="C148" s="51">
        <v>226</v>
      </c>
      <c r="D148" s="33">
        <f t="shared" si="29"/>
        <v>0</v>
      </c>
      <c r="E148" s="33">
        <f t="shared" si="30"/>
        <v>0</v>
      </c>
      <c r="F148" s="91" t="e">
        <f t="shared" si="43"/>
        <v>#DIV/0!</v>
      </c>
      <c r="G148" s="38"/>
      <c r="H148" s="38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</row>
    <row r="149" spans="1:20" s="6" customFormat="1" ht="33" x14ac:dyDescent="0.25">
      <c r="A149" s="63" t="s">
        <v>162</v>
      </c>
      <c r="B149" s="28" t="s">
        <v>163</v>
      </c>
      <c r="C149" s="51">
        <v>226</v>
      </c>
      <c r="D149" s="33">
        <f t="shared" si="29"/>
        <v>867581.43000000017</v>
      </c>
      <c r="E149" s="33">
        <f t="shared" si="30"/>
        <v>0</v>
      </c>
      <c r="F149" s="91">
        <f t="shared" si="43"/>
        <v>0</v>
      </c>
      <c r="G149" s="38">
        <f>3436050.6-2568469.17</f>
        <v>867581.43000000017</v>
      </c>
      <c r="H149" s="38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</row>
    <row r="150" spans="1:20" s="6" customFormat="1" ht="16.5" hidden="1" x14ac:dyDescent="0.25">
      <c r="A150" s="63" t="s">
        <v>164</v>
      </c>
      <c r="B150" s="28" t="s">
        <v>165</v>
      </c>
      <c r="C150" s="51">
        <v>310</v>
      </c>
      <c r="D150" s="33">
        <f t="shared" si="29"/>
        <v>0</v>
      </c>
      <c r="E150" s="33">
        <f t="shared" si="30"/>
        <v>0</v>
      </c>
      <c r="F150" s="91" t="e">
        <f t="shared" si="43"/>
        <v>#DIV/0!</v>
      </c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</row>
    <row r="151" spans="1:20" s="6" customFormat="1" ht="33" hidden="1" x14ac:dyDescent="0.25">
      <c r="A151" s="63" t="s">
        <v>166</v>
      </c>
      <c r="B151" s="28" t="s">
        <v>167</v>
      </c>
      <c r="C151" s="51">
        <v>226</v>
      </c>
      <c r="D151" s="33">
        <f t="shared" si="29"/>
        <v>0</v>
      </c>
      <c r="E151" s="33">
        <f t="shared" si="30"/>
        <v>0</v>
      </c>
      <c r="F151" s="91" t="e">
        <f t="shared" si="43"/>
        <v>#DIV/0!</v>
      </c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</row>
    <row r="152" spans="1:20" s="6" customFormat="1" ht="33" hidden="1" x14ac:dyDescent="0.25">
      <c r="A152" s="63" t="s">
        <v>166</v>
      </c>
      <c r="B152" s="28" t="s">
        <v>167</v>
      </c>
      <c r="C152" s="51">
        <v>310</v>
      </c>
      <c r="D152" s="33">
        <f t="shared" si="29"/>
        <v>0</v>
      </c>
      <c r="E152" s="33">
        <f t="shared" si="30"/>
        <v>0</v>
      </c>
      <c r="F152" s="91" t="e">
        <f t="shared" si="43"/>
        <v>#DIV/0!</v>
      </c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</row>
    <row r="153" spans="1:20" s="6" customFormat="1" ht="33" x14ac:dyDescent="0.25">
      <c r="A153" s="63" t="s">
        <v>168</v>
      </c>
      <c r="B153" s="28" t="s">
        <v>169</v>
      </c>
      <c r="C153" s="51">
        <v>226</v>
      </c>
      <c r="D153" s="33">
        <f t="shared" ref="D153:D216" si="60">SUM(G153+I153+K153+M153+O153+Q153+S153)</f>
        <v>36000</v>
      </c>
      <c r="E153" s="33">
        <f t="shared" ref="E153:E216" si="61">SUM(H153+J153+L153+N153+P153+R153+T153)</f>
        <v>0</v>
      </c>
      <c r="F153" s="91">
        <f t="shared" si="43"/>
        <v>0</v>
      </c>
      <c r="G153" s="38">
        <v>36000</v>
      </c>
      <c r="H153" s="38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</row>
    <row r="154" spans="1:20" s="6" customFormat="1" ht="33" x14ac:dyDescent="0.25">
      <c r="A154" s="63" t="s">
        <v>168</v>
      </c>
      <c r="B154" s="28" t="s">
        <v>169</v>
      </c>
      <c r="C154" s="51">
        <v>310</v>
      </c>
      <c r="D154" s="33">
        <f t="shared" si="60"/>
        <v>90000</v>
      </c>
      <c r="E154" s="33">
        <f t="shared" si="61"/>
        <v>0</v>
      </c>
      <c r="F154" s="91">
        <f t="shared" si="43"/>
        <v>0</v>
      </c>
      <c r="G154" s="38">
        <v>90000</v>
      </c>
      <c r="H154" s="38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</row>
    <row r="155" spans="1:20" s="6" customFormat="1" ht="16.5" hidden="1" x14ac:dyDescent="0.25">
      <c r="A155" s="63" t="s">
        <v>170</v>
      </c>
      <c r="B155" s="28" t="s">
        <v>171</v>
      </c>
      <c r="C155" s="51">
        <v>226</v>
      </c>
      <c r="D155" s="33">
        <f t="shared" si="60"/>
        <v>0</v>
      </c>
      <c r="E155" s="33">
        <f t="shared" si="61"/>
        <v>0</v>
      </c>
      <c r="F155" s="91" t="e">
        <f t="shared" si="43"/>
        <v>#DIV/0!</v>
      </c>
      <c r="G155" s="38"/>
      <c r="H155" s="38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</row>
    <row r="156" spans="1:20" s="6" customFormat="1" ht="16.5" hidden="1" x14ac:dyDescent="0.25">
      <c r="A156" s="63" t="s">
        <v>170</v>
      </c>
      <c r="B156" s="28" t="s">
        <v>171</v>
      </c>
      <c r="C156" s="51">
        <v>310</v>
      </c>
      <c r="D156" s="33">
        <f t="shared" si="60"/>
        <v>0</v>
      </c>
      <c r="E156" s="33">
        <f t="shared" si="61"/>
        <v>0</v>
      </c>
      <c r="F156" s="91" t="e">
        <f t="shared" si="43"/>
        <v>#DIV/0!</v>
      </c>
      <c r="G156" s="38"/>
      <c r="H156" s="38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</row>
    <row r="157" spans="1:20" s="6" customFormat="1" ht="16.5" hidden="1" x14ac:dyDescent="0.25">
      <c r="A157" s="63" t="s">
        <v>172</v>
      </c>
      <c r="B157" s="28" t="s">
        <v>173</v>
      </c>
      <c r="C157" s="51">
        <v>226</v>
      </c>
      <c r="D157" s="33">
        <f t="shared" si="60"/>
        <v>0</v>
      </c>
      <c r="E157" s="33">
        <f t="shared" si="61"/>
        <v>0</v>
      </c>
      <c r="F157" s="91" t="e">
        <f t="shared" si="43"/>
        <v>#DIV/0!</v>
      </c>
      <c r="G157" s="38"/>
      <c r="H157" s="38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</row>
    <row r="158" spans="1:20" s="6" customFormat="1" ht="33" hidden="1" x14ac:dyDescent="0.25">
      <c r="A158" s="63" t="s">
        <v>172</v>
      </c>
      <c r="B158" s="28" t="s">
        <v>174</v>
      </c>
      <c r="C158" s="51">
        <v>310</v>
      </c>
      <c r="D158" s="33">
        <f t="shared" si="60"/>
        <v>0</v>
      </c>
      <c r="E158" s="33">
        <f t="shared" si="61"/>
        <v>0</v>
      </c>
      <c r="F158" s="91" t="e">
        <f t="shared" si="43"/>
        <v>#DIV/0!</v>
      </c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</row>
    <row r="159" spans="1:20" s="6" customFormat="1" ht="16.5" hidden="1" x14ac:dyDescent="0.25">
      <c r="A159" s="63" t="s">
        <v>175</v>
      </c>
      <c r="B159" s="28" t="s">
        <v>176</v>
      </c>
      <c r="C159" s="51">
        <v>226</v>
      </c>
      <c r="D159" s="33">
        <f t="shared" si="60"/>
        <v>0</v>
      </c>
      <c r="E159" s="33">
        <f t="shared" si="61"/>
        <v>0</v>
      </c>
      <c r="F159" s="91" t="e">
        <f t="shared" si="43"/>
        <v>#DIV/0!</v>
      </c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</row>
    <row r="160" spans="1:20" s="6" customFormat="1" ht="16.5" hidden="1" x14ac:dyDescent="0.25">
      <c r="A160" s="63" t="s">
        <v>177</v>
      </c>
      <c r="B160" s="28" t="s">
        <v>178</v>
      </c>
      <c r="C160" s="51">
        <v>310</v>
      </c>
      <c r="D160" s="33">
        <f t="shared" si="60"/>
        <v>0</v>
      </c>
      <c r="E160" s="33">
        <f t="shared" si="61"/>
        <v>0</v>
      </c>
      <c r="F160" s="91" t="e">
        <f t="shared" si="43"/>
        <v>#DIV/0!</v>
      </c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</row>
    <row r="161" spans="1:20" s="6" customFormat="1" ht="33" hidden="1" x14ac:dyDescent="0.25">
      <c r="A161" s="63" t="s">
        <v>179</v>
      </c>
      <c r="B161" s="28" t="s">
        <v>180</v>
      </c>
      <c r="C161" s="51">
        <v>226</v>
      </c>
      <c r="D161" s="33">
        <f t="shared" si="60"/>
        <v>0</v>
      </c>
      <c r="E161" s="33">
        <f t="shared" si="61"/>
        <v>0</v>
      </c>
      <c r="F161" s="91" t="e">
        <f t="shared" si="43"/>
        <v>#DIV/0!</v>
      </c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</row>
    <row r="162" spans="1:20" s="6" customFormat="1" ht="16.5" hidden="1" x14ac:dyDescent="0.25">
      <c r="A162" s="63" t="s">
        <v>181</v>
      </c>
      <c r="B162" s="28" t="s">
        <v>182</v>
      </c>
      <c r="C162" s="51">
        <v>226</v>
      </c>
      <c r="D162" s="33">
        <f t="shared" si="60"/>
        <v>0</v>
      </c>
      <c r="E162" s="33">
        <f t="shared" si="61"/>
        <v>0</v>
      </c>
      <c r="F162" s="91" t="e">
        <f t="shared" si="43"/>
        <v>#DIV/0!</v>
      </c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</row>
    <row r="163" spans="1:20" s="6" customFormat="1" ht="16.5" hidden="1" x14ac:dyDescent="0.25">
      <c r="A163" s="63" t="s">
        <v>183</v>
      </c>
      <c r="B163" s="28" t="s">
        <v>184</v>
      </c>
      <c r="C163" s="51">
        <v>310</v>
      </c>
      <c r="D163" s="33">
        <f t="shared" si="60"/>
        <v>0</v>
      </c>
      <c r="E163" s="33">
        <f t="shared" si="61"/>
        <v>0</v>
      </c>
      <c r="F163" s="91" t="e">
        <f t="shared" ref="F163:F226" si="62">SUM(E163/D163*100)</f>
        <v>#DIV/0!</v>
      </c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</row>
    <row r="164" spans="1:20" s="6" customFormat="1" ht="16.5" hidden="1" x14ac:dyDescent="0.25">
      <c r="A164" s="63" t="s">
        <v>185</v>
      </c>
      <c r="B164" s="28" t="s">
        <v>186</v>
      </c>
      <c r="C164" s="51">
        <v>310</v>
      </c>
      <c r="D164" s="33">
        <f t="shared" si="60"/>
        <v>0</v>
      </c>
      <c r="E164" s="33">
        <f t="shared" si="61"/>
        <v>0</v>
      </c>
      <c r="F164" s="91" t="e">
        <f t="shared" si="62"/>
        <v>#DIV/0!</v>
      </c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</row>
    <row r="165" spans="1:20" s="20" customFormat="1" ht="34.5" x14ac:dyDescent="0.25">
      <c r="A165" s="59" t="s">
        <v>29</v>
      </c>
      <c r="B165" s="48" t="s">
        <v>44</v>
      </c>
      <c r="C165" s="54"/>
      <c r="D165" s="33">
        <f t="shared" si="60"/>
        <v>450000</v>
      </c>
      <c r="E165" s="33">
        <f t="shared" si="61"/>
        <v>0</v>
      </c>
      <c r="F165" s="91">
        <f t="shared" si="62"/>
        <v>0</v>
      </c>
      <c r="G165" s="25">
        <f t="shared" ref="G165:T165" si="63">SUM(G166)</f>
        <v>450000</v>
      </c>
      <c r="H165" s="25">
        <f t="shared" si="63"/>
        <v>0</v>
      </c>
      <c r="I165" s="25">
        <f t="shared" si="63"/>
        <v>0</v>
      </c>
      <c r="J165" s="25">
        <f t="shared" si="63"/>
        <v>0</v>
      </c>
      <c r="K165" s="25">
        <f t="shared" si="63"/>
        <v>0</v>
      </c>
      <c r="L165" s="25">
        <f t="shared" si="63"/>
        <v>0</v>
      </c>
      <c r="M165" s="25">
        <f t="shared" si="63"/>
        <v>0</v>
      </c>
      <c r="N165" s="25">
        <f t="shared" si="63"/>
        <v>0</v>
      </c>
      <c r="O165" s="25">
        <f t="shared" si="63"/>
        <v>0</v>
      </c>
      <c r="P165" s="25">
        <f t="shared" si="63"/>
        <v>0</v>
      </c>
      <c r="Q165" s="25">
        <f t="shared" si="63"/>
        <v>0</v>
      </c>
      <c r="R165" s="25">
        <f t="shared" si="63"/>
        <v>0</v>
      </c>
      <c r="S165" s="25">
        <f t="shared" si="63"/>
        <v>0</v>
      </c>
      <c r="T165" s="25">
        <f t="shared" si="63"/>
        <v>0</v>
      </c>
    </row>
    <row r="166" spans="1:20" s="22" customFormat="1" ht="33" x14ac:dyDescent="0.25">
      <c r="A166" s="52" t="s">
        <v>187</v>
      </c>
      <c r="B166" s="28" t="s">
        <v>188</v>
      </c>
      <c r="C166" s="55">
        <v>310</v>
      </c>
      <c r="D166" s="33">
        <f t="shared" si="60"/>
        <v>450000</v>
      </c>
      <c r="E166" s="33">
        <f t="shared" si="61"/>
        <v>0</v>
      </c>
      <c r="F166" s="91">
        <f t="shared" si="62"/>
        <v>0</v>
      </c>
      <c r="G166" s="38">
        <v>450000</v>
      </c>
      <c r="H166" s="38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</row>
    <row r="167" spans="1:20" s="22" customFormat="1" ht="16.5" hidden="1" x14ac:dyDescent="0.25">
      <c r="A167" s="52"/>
      <c r="B167" s="28"/>
      <c r="C167" s="55"/>
      <c r="D167" s="33">
        <f t="shared" si="60"/>
        <v>0</v>
      </c>
      <c r="E167" s="33">
        <f t="shared" si="61"/>
        <v>0</v>
      </c>
      <c r="F167" s="91" t="e">
        <f t="shared" si="62"/>
        <v>#DIV/0!</v>
      </c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</row>
    <row r="168" spans="1:20" s="30" customFormat="1" ht="51.75" x14ac:dyDescent="0.25">
      <c r="A168" s="53" t="s">
        <v>31</v>
      </c>
      <c r="B168" s="48" t="s">
        <v>189</v>
      </c>
      <c r="C168" s="70"/>
      <c r="D168" s="33">
        <f t="shared" si="60"/>
        <v>250000</v>
      </c>
      <c r="E168" s="33">
        <f t="shared" si="61"/>
        <v>0</v>
      </c>
      <c r="F168" s="91">
        <f t="shared" si="62"/>
        <v>0</v>
      </c>
      <c r="G168" s="25">
        <f t="shared" ref="G168:S168" si="64">SUM(G169:G173)</f>
        <v>250000</v>
      </c>
      <c r="H168" s="25">
        <f t="shared" si="64"/>
        <v>0</v>
      </c>
      <c r="I168" s="25">
        <f t="shared" si="64"/>
        <v>0</v>
      </c>
      <c r="J168" s="25">
        <f t="shared" si="64"/>
        <v>0</v>
      </c>
      <c r="K168" s="25">
        <f t="shared" si="64"/>
        <v>0</v>
      </c>
      <c r="L168" s="25">
        <f t="shared" si="64"/>
        <v>0</v>
      </c>
      <c r="M168" s="25">
        <f t="shared" si="64"/>
        <v>0</v>
      </c>
      <c r="N168" s="25">
        <f t="shared" si="64"/>
        <v>0</v>
      </c>
      <c r="O168" s="25">
        <f t="shared" si="64"/>
        <v>0</v>
      </c>
      <c r="P168" s="25">
        <f t="shared" si="64"/>
        <v>0</v>
      </c>
      <c r="Q168" s="25">
        <f t="shared" si="64"/>
        <v>0</v>
      </c>
      <c r="R168" s="25">
        <f t="shared" si="64"/>
        <v>0</v>
      </c>
      <c r="S168" s="25">
        <f t="shared" si="64"/>
        <v>0</v>
      </c>
      <c r="T168" s="23">
        <f t="shared" ref="T168" si="65">SUM(T169:T173)</f>
        <v>0</v>
      </c>
    </row>
    <row r="169" spans="1:20" s="22" customFormat="1" ht="33" hidden="1" x14ac:dyDescent="0.25">
      <c r="A169" s="52" t="s">
        <v>190</v>
      </c>
      <c r="B169" s="28" t="s">
        <v>191</v>
      </c>
      <c r="C169" s="55"/>
      <c r="D169" s="33">
        <f t="shared" si="60"/>
        <v>0</v>
      </c>
      <c r="E169" s="33">
        <f t="shared" si="61"/>
        <v>0</v>
      </c>
      <c r="F169" s="91" t="e">
        <f t="shared" si="62"/>
        <v>#DIV/0!</v>
      </c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</row>
    <row r="170" spans="1:20" s="22" customFormat="1" ht="49.5" x14ac:dyDescent="0.25">
      <c r="A170" s="52" t="s">
        <v>192</v>
      </c>
      <c r="B170" s="28" t="s">
        <v>281</v>
      </c>
      <c r="C170" s="55">
        <v>226</v>
      </c>
      <c r="D170" s="33">
        <f t="shared" si="60"/>
        <v>130000</v>
      </c>
      <c r="E170" s="33">
        <f t="shared" si="61"/>
        <v>0</v>
      </c>
      <c r="F170" s="91">
        <f t="shared" si="62"/>
        <v>0</v>
      </c>
      <c r="G170" s="38">
        <v>130000</v>
      </c>
      <c r="H170" s="38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</row>
    <row r="171" spans="1:20" s="22" customFormat="1" ht="49.5" x14ac:dyDescent="0.25">
      <c r="A171" s="52" t="s">
        <v>192</v>
      </c>
      <c r="B171" s="28" t="s">
        <v>281</v>
      </c>
      <c r="C171" s="55">
        <v>310</v>
      </c>
      <c r="D171" s="33">
        <f t="shared" si="60"/>
        <v>97000</v>
      </c>
      <c r="E171" s="33">
        <f t="shared" si="61"/>
        <v>0</v>
      </c>
      <c r="F171" s="91">
        <f t="shared" si="62"/>
        <v>0</v>
      </c>
      <c r="G171" s="38">
        <v>97000</v>
      </c>
      <c r="H171" s="38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</row>
    <row r="172" spans="1:20" s="22" customFormat="1" ht="49.5" x14ac:dyDescent="0.25">
      <c r="A172" s="52" t="s">
        <v>192</v>
      </c>
      <c r="B172" s="28" t="s">
        <v>281</v>
      </c>
      <c r="C172" s="55">
        <v>340</v>
      </c>
      <c r="D172" s="33">
        <f t="shared" si="60"/>
        <v>23000</v>
      </c>
      <c r="E172" s="33">
        <f t="shared" si="61"/>
        <v>0</v>
      </c>
      <c r="F172" s="91">
        <f t="shared" si="62"/>
        <v>0</v>
      </c>
      <c r="G172" s="38">
        <v>23000</v>
      </c>
      <c r="H172" s="38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</row>
    <row r="173" spans="1:20" s="22" customFormat="1" ht="33" hidden="1" x14ac:dyDescent="0.25">
      <c r="A173" s="52" t="s">
        <v>194</v>
      </c>
      <c r="B173" s="28" t="s">
        <v>195</v>
      </c>
      <c r="C173" s="55"/>
      <c r="D173" s="33">
        <f t="shared" si="60"/>
        <v>0</v>
      </c>
      <c r="E173" s="33">
        <f t="shared" si="61"/>
        <v>0</v>
      </c>
      <c r="F173" s="91" t="e">
        <f t="shared" si="62"/>
        <v>#DIV/0!</v>
      </c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</row>
    <row r="174" spans="1:20" s="36" customFormat="1" ht="34.5" x14ac:dyDescent="0.25">
      <c r="A174" s="53" t="s">
        <v>33</v>
      </c>
      <c r="B174" s="48" t="s">
        <v>34</v>
      </c>
      <c r="C174" s="71"/>
      <c r="D174" s="33">
        <f t="shared" si="60"/>
        <v>0</v>
      </c>
      <c r="E174" s="33">
        <f t="shared" si="61"/>
        <v>0</v>
      </c>
      <c r="F174" s="91"/>
      <c r="G174" s="25">
        <f t="shared" ref="G174:S174" si="66">SUM(G175:G179)</f>
        <v>0</v>
      </c>
      <c r="H174" s="25"/>
      <c r="I174" s="25">
        <f t="shared" si="66"/>
        <v>0</v>
      </c>
      <c r="J174" s="25"/>
      <c r="K174" s="25">
        <f t="shared" si="66"/>
        <v>0</v>
      </c>
      <c r="L174" s="25"/>
      <c r="M174" s="25">
        <f t="shared" si="66"/>
        <v>0</v>
      </c>
      <c r="N174" s="25"/>
      <c r="O174" s="25">
        <f t="shared" si="66"/>
        <v>0</v>
      </c>
      <c r="P174" s="25"/>
      <c r="Q174" s="25"/>
      <c r="R174" s="25"/>
      <c r="S174" s="25">
        <f t="shared" si="66"/>
        <v>0</v>
      </c>
      <c r="T174" s="25">
        <f t="shared" ref="T174" si="67">SUM(T175:T179)</f>
        <v>0</v>
      </c>
    </row>
    <row r="175" spans="1:20" s="22" customFormat="1" ht="16.5" hidden="1" x14ac:dyDescent="0.25">
      <c r="A175" s="52" t="s">
        <v>196</v>
      </c>
      <c r="B175" s="28" t="s">
        <v>197</v>
      </c>
      <c r="C175" s="55"/>
      <c r="D175" s="33">
        <f t="shared" si="60"/>
        <v>0</v>
      </c>
      <c r="E175" s="33">
        <f t="shared" si="61"/>
        <v>0</v>
      </c>
      <c r="F175" s="91" t="e">
        <f t="shared" si="62"/>
        <v>#DIV/0!</v>
      </c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</row>
    <row r="176" spans="1:20" s="22" customFormat="1" ht="16.5" hidden="1" x14ac:dyDescent="0.25">
      <c r="A176" s="52"/>
      <c r="B176" s="28" t="s">
        <v>47</v>
      </c>
      <c r="C176" s="55">
        <v>211</v>
      </c>
      <c r="D176" s="33">
        <f t="shared" si="60"/>
        <v>0</v>
      </c>
      <c r="E176" s="33">
        <f t="shared" si="61"/>
        <v>0</v>
      </c>
      <c r="F176" s="91" t="e">
        <f t="shared" si="62"/>
        <v>#DIV/0!</v>
      </c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</row>
    <row r="177" spans="1:20" s="22" customFormat="1" ht="16.5" hidden="1" x14ac:dyDescent="0.25">
      <c r="A177" s="52"/>
      <c r="B177" s="28" t="s">
        <v>198</v>
      </c>
      <c r="C177" s="55">
        <v>213</v>
      </c>
      <c r="D177" s="33">
        <f t="shared" si="60"/>
        <v>0</v>
      </c>
      <c r="E177" s="33">
        <f t="shared" si="61"/>
        <v>0</v>
      </c>
      <c r="F177" s="91" t="e">
        <f t="shared" si="62"/>
        <v>#DIV/0!</v>
      </c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</row>
    <row r="178" spans="1:20" s="22" customFormat="1" ht="16.5" hidden="1" x14ac:dyDescent="0.25">
      <c r="A178" s="52" t="s">
        <v>199</v>
      </c>
      <c r="B178" s="28" t="s">
        <v>200</v>
      </c>
      <c r="C178" s="55">
        <v>310</v>
      </c>
      <c r="D178" s="33">
        <f t="shared" si="60"/>
        <v>0</v>
      </c>
      <c r="E178" s="33">
        <f t="shared" si="61"/>
        <v>0</v>
      </c>
      <c r="F178" s="91" t="e">
        <f t="shared" si="62"/>
        <v>#DIV/0!</v>
      </c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</row>
    <row r="179" spans="1:20" s="22" customFormat="1" ht="16.5" hidden="1" x14ac:dyDescent="0.25">
      <c r="A179" s="52" t="s">
        <v>201</v>
      </c>
      <c r="B179" s="28" t="s">
        <v>202</v>
      </c>
      <c r="C179" s="55">
        <v>340</v>
      </c>
      <c r="D179" s="33">
        <f t="shared" si="60"/>
        <v>0</v>
      </c>
      <c r="E179" s="33">
        <f t="shared" si="61"/>
        <v>0</v>
      </c>
      <c r="F179" s="91" t="e">
        <f t="shared" si="62"/>
        <v>#DIV/0!</v>
      </c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</row>
    <row r="180" spans="1:20" s="37" customFormat="1" ht="51.75" x14ac:dyDescent="0.25">
      <c r="A180" s="47" t="s">
        <v>35</v>
      </c>
      <c r="B180" s="62" t="s">
        <v>36</v>
      </c>
      <c r="C180" s="72"/>
      <c r="D180" s="34">
        <f t="shared" ref="D180:E180" si="68">SUM(D181:D185)</f>
        <v>1460200</v>
      </c>
      <c r="E180" s="34">
        <f t="shared" si="68"/>
        <v>275820</v>
      </c>
      <c r="F180" s="91">
        <f t="shared" si="62"/>
        <v>18.889193261197097</v>
      </c>
      <c r="G180" s="34">
        <f>SUM(G181:G185)</f>
        <v>1460200</v>
      </c>
      <c r="H180" s="34">
        <f t="shared" ref="H180:S180" si="69">SUM(H181:H185)</f>
        <v>275820</v>
      </c>
      <c r="I180" s="34">
        <f t="shared" si="69"/>
        <v>0</v>
      </c>
      <c r="J180" s="34">
        <f t="shared" si="69"/>
        <v>0</v>
      </c>
      <c r="K180" s="34">
        <f t="shared" si="69"/>
        <v>0</v>
      </c>
      <c r="L180" s="34">
        <f t="shared" si="69"/>
        <v>0</v>
      </c>
      <c r="M180" s="34">
        <f t="shared" si="69"/>
        <v>0</v>
      </c>
      <c r="N180" s="34">
        <f t="shared" si="69"/>
        <v>0</v>
      </c>
      <c r="O180" s="34">
        <f t="shared" si="69"/>
        <v>0</v>
      </c>
      <c r="P180" s="34">
        <f t="shared" si="69"/>
        <v>0</v>
      </c>
      <c r="Q180" s="34">
        <f t="shared" si="69"/>
        <v>0</v>
      </c>
      <c r="R180" s="34">
        <f t="shared" si="69"/>
        <v>0</v>
      </c>
      <c r="S180" s="34">
        <f t="shared" si="69"/>
        <v>0</v>
      </c>
      <c r="T180" s="34">
        <f t="shared" ref="T180" si="70">SUM(T181:T185)</f>
        <v>0</v>
      </c>
    </row>
    <row r="181" spans="1:20" s="6" customFormat="1" ht="33" hidden="1" x14ac:dyDescent="0.25">
      <c r="A181" s="73" t="s">
        <v>203</v>
      </c>
      <c r="B181" s="64" t="s">
        <v>204</v>
      </c>
      <c r="C181" s="69">
        <v>222</v>
      </c>
      <c r="D181" s="33">
        <f t="shared" si="60"/>
        <v>0</v>
      </c>
      <c r="E181" s="33">
        <f t="shared" si="61"/>
        <v>0</v>
      </c>
      <c r="F181" s="91" t="e">
        <f t="shared" si="62"/>
        <v>#DIV/0!</v>
      </c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</row>
    <row r="182" spans="1:20" s="6" customFormat="1" ht="33" x14ac:dyDescent="0.25">
      <c r="A182" s="73" t="s">
        <v>203</v>
      </c>
      <c r="B182" s="64" t="s">
        <v>204</v>
      </c>
      <c r="C182" s="69">
        <v>226</v>
      </c>
      <c r="D182" s="33">
        <f t="shared" si="60"/>
        <v>1348530</v>
      </c>
      <c r="E182" s="33">
        <f t="shared" si="61"/>
        <v>66100</v>
      </c>
      <c r="F182" s="91">
        <f t="shared" si="62"/>
        <v>4.901633630694163</v>
      </c>
      <c r="G182" s="33">
        <v>1348530</v>
      </c>
      <c r="H182" s="85">
        <v>66100</v>
      </c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</row>
    <row r="183" spans="1:20" s="6" customFormat="1" ht="33" x14ac:dyDescent="0.25">
      <c r="A183" s="73" t="s">
        <v>203</v>
      </c>
      <c r="B183" s="64" t="s">
        <v>204</v>
      </c>
      <c r="C183" s="69">
        <v>222</v>
      </c>
      <c r="D183" s="33">
        <f t="shared" si="60"/>
        <v>21170</v>
      </c>
      <c r="E183" s="33">
        <f t="shared" si="61"/>
        <v>105220</v>
      </c>
      <c r="F183" s="91">
        <f t="shared" si="62"/>
        <v>497.0240906943788</v>
      </c>
      <c r="G183" s="33">
        <v>21170</v>
      </c>
      <c r="H183" s="33">
        <v>105220</v>
      </c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</row>
    <row r="184" spans="1:20" s="6" customFormat="1" ht="33" x14ac:dyDescent="0.25">
      <c r="A184" s="73" t="s">
        <v>203</v>
      </c>
      <c r="B184" s="64" t="s">
        <v>204</v>
      </c>
      <c r="C184" s="69">
        <v>290</v>
      </c>
      <c r="D184" s="33">
        <f t="shared" si="60"/>
        <v>69700</v>
      </c>
      <c r="E184" s="33">
        <f t="shared" si="61"/>
        <v>78700</v>
      </c>
      <c r="F184" s="91">
        <f t="shared" si="62"/>
        <v>112.91248206599714</v>
      </c>
      <c r="G184" s="33">
        <v>69700</v>
      </c>
      <c r="H184" s="33">
        <v>78700</v>
      </c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</row>
    <row r="185" spans="1:20" s="6" customFormat="1" ht="33" x14ac:dyDescent="0.25">
      <c r="A185" s="73" t="s">
        <v>203</v>
      </c>
      <c r="B185" s="64" t="s">
        <v>204</v>
      </c>
      <c r="C185" s="69">
        <v>340</v>
      </c>
      <c r="D185" s="33">
        <f t="shared" si="60"/>
        <v>20800</v>
      </c>
      <c r="E185" s="33">
        <f t="shared" si="61"/>
        <v>25800</v>
      </c>
      <c r="F185" s="91">
        <f t="shared" si="62"/>
        <v>124.03846153846155</v>
      </c>
      <c r="G185" s="33">
        <v>20800</v>
      </c>
      <c r="H185" s="33">
        <v>25800</v>
      </c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</row>
    <row r="186" spans="1:20" s="32" customFormat="1" ht="17.25" x14ac:dyDescent="0.25">
      <c r="A186" s="74" t="s">
        <v>205</v>
      </c>
      <c r="B186" s="62" t="s">
        <v>37</v>
      </c>
      <c r="C186" s="49"/>
      <c r="D186" s="33">
        <f t="shared" si="60"/>
        <v>0</v>
      </c>
      <c r="E186" s="33">
        <f t="shared" si="61"/>
        <v>0</v>
      </c>
      <c r="F186" s="9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</row>
    <row r="187" spans="1:20" s="18" customFormat="1" ht="17.25" x14ac:dyDescent="0.25">
      <c r="A187" s="61" t="s">
        <v>206</v>
      </c>
      <c r="B187" s="62" t="s">
        <v>38</v>
      </c>
      <c r="C187" s="49"/>
      <c r="D187" s="34">
        <f t="shared" ref="D187:R187" si="71">SUM(D188+D189+D190+D191+D192+D193+D197+D198+D199+D200+D201+D202+D203+D205)+D204</f>
        <v>27387137.09</v>
      </c>
      <c r="E187" s="34">
        <f t="shared" si="71"/>
        <v>10792453.289999999</v>
      </c>
      <c r="F187" s="91">
        <f t="shared" si="62"/>
        <v>39.407015251479862</v>
      </c>
      <c r="G187" s="34">
        <f t="shared" si="71"/>
        <v>0</v>
      </c>
      <c r="H187" s="34">
        <f t="shared" si="71"/>
        <v>0</v>
      </c>
      <c r="I187" s="34">
        <f t="shared" si="71"/>
        <v>0</v>
      </c>
      <c r="J187" s="34">
        <f t="shared" si="71"/>
        <v>0</v>
      </c>
      <c r="K187" s="34">
        <f t="shared" si="71"/>
        <v>0</v>
      </c>
      <c r="L187" s="34">
        <f t="shared" si="71"/>
        <v>0</v>
      </c>
      <c r="M187" s="34">
        <f t="shared" si="71"/>
        <v>0</v>
      </c>
      <c r="N187" s="34">
        <f t="shared" si="71"/>
        <v>0</v>
      </c>
      <c r="O187" s="34">
        <f t="shared" si="71"/>
        <v>0</v>
      </c>
      <c r="P187" s="34">
        <f t="shared" si="71"/>
        <v>0</v>
      </c>
      <c r="Q187" s="34">
        <f t="shared" si="71"/>
        <v>0</v>
      </c>
      <c r="R187" s="34">
        <f t="shared" si="71"/>
        <v>0</v>
      </c>
      <c r="S187" s="34">
        <f>SUM(S188+S189+S190+S191+S192+S193+S197+S198+S199+S200+S201+S202+S203+S205)+S204</f>
        <v>27387137.09</v>
      </c>
      <c r="T187" s="34">
        <f>SUM(T188+T189+T190+T191+T192+T193+T197+T198+T199+T200+T201+T202+T203+T205)+T204</f>
        <v>10792453.289999999</v>
      </c>
    </row>
    <row r="188" spans="1:20" s="6" customFormat="1" ht="16.5" x14ac:dyDescent="0.25">
      <c r="A188" s="63" t="s">
        <v>207</v>
      </c>
      <c r="B188" s="28" t="s">
        <v>47</v>
      </c>
      <c r="C188" s="51">
        <v>211</v>
      </c>
      <c r="D188" s="33">
        <f t="shared" si="60"/>
        <v>1160000</v>
      </c>
      <c r="E188" s="33">
        <f t="shared" si="61"/>
        <v>501348.56</v>
      </c>
      <c r="F188" s="91">
        <f t="shared" si="62"/>
        <v>43.219703448275865</v>
      </c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33">
        <v>1160000</v>
      </c>
      <c r="T188" s="85">
        <v>501348.56</v>
      </c>
    </row>
    <row r="189" spans="1:20" s="6" customFormat="1" ht="16.5" x14ac:dyDescent="0.25">
      <c r="A189" s="63" t="s">
        <v>208</v>
      </c>
      <c r="B189" s="28" t="s">
        <v>49</v>
      </c>
      <c r="C189" s="51">
        <v>212</v>
      </c>
      <c r="D189" s="33">
        <f t="shared" si="60"/>
        <v>0</v>
      </c>
      <c r="E189" s="33">
        <f t="shared" si="61"/>
        <v>0</v>
      </c>
      <c r="F189" s="91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33"/>
      <c r="T189" s="85"/>
    </row>
    <row r="190" spans="1:20" s="6" customFormat="1" ht="16.5" x14ac:dyDescent="0.25">
      <c r="A190" s="63" t="s">
        <v>209</v>
      </c>
      <c r="B190" s="28" t="s">
        <v>51</v>
      </c>
      <c r="C190" s="51">
        <v>213</v>
      </c>
      <c r="D190" s="33">
        <f t="shared" si="60"/>
        <v>349100</v>
      </c>
      <c r="E190" s="33">
        <f t="shared" si="61"/>
        <v>148396.64000000001</v>
      </c>
      <c r="F190" s="91">
        <f t="shared" si="62"/>
        <v>42.508347178458898</v>
      </c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33">
        <v>349100</v>
      </c>
      <c r="T190" s="85">
        <v>148396.64000000001</v>
      </c>
    </row>
    <row r="191" spans="1:20" s="6" customFormat="1" ht="16.5" x14ac:dyDescent="0.25">
      <c r="A191" s="63" t="s">
        <v>210</v>
      </c>
      <c r="B191" s="28" t="s">
        <v>53</v>
      </c>
      <c r="C191" s="51">
        <v>221</v>
      </c>
      <c r="D191" s="33">
        <f t="shared" si="60"/>
        <v>312000</v>
      </c>
      <c r="E191" s="33">
        <f t="shared" si="61"/>
        <v>136100.10999999999</v>
      </c>
      <c r="F191" s="91">
        <f t="shared" si="62"/>
        <v>43.621830128205126</v>
      </c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33">
        <v>312000</v>
      </c>
      <c r="T191" s="85">
        <v>136100.10999999999</v>
      </c>
    </row>
    <row r="192" spans="1:20" s="6" customFormat="1" ht="16.5" x14ac:dyDescent="0.25">
      <c r="A192" s="63" t="s">
        <v>211</v>
      </c>
      <c r="B192" s="28" t="s">
        <v>55</v>
      </c>
      <c r="C192" s="51">
        <v>222</v>
      </c>
      <c r="D192" s="33">
        <f t="shared" si="60"/>
        <v>125000</v>
      </c>
      <c r="E192" s="33">
        <f t="shared" si="61"/>
        <v>20200</v>
      </c>
      <c r="F192" s="91">
        <f t="shared" si="62"/>
        <v>16.16</v>
      </c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33">
        <v>125000</v>
      </c>
      <c r="T192" s="85">
        <v>20200</v>
      </c>
    </row>
    <row r="193" spans="1:20" s="6" customFormat="1" ht="16.5" x14ac:dyDescent="0.25">
      <c r="A193" s="63" t="s">
        <v>212</v>
      </c>
      <c r="B193" s="28" t="s">
        <v>57</v>
      </c>
      <c r="C193" s="51">
        <v>223</v>
      </c>
      <c r="D193" s="33">
        <f t="shared" si="60"/>
        <v>185000</v>
      </c>
      <c r="E193" s="33">
        <f t="shared" si="61"/>
        <v>101023.06</v>
      </c>
      <c r="F193" s="91">
        <f t="shared" si="62"/>
        <v>54.607059459459464</v>
      </c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33">
        <f>SUM(S194:S196)</f>
        <v>185000</v>
      </c>
      <c r="T193" s="85">
        <v>101023.06</v>
      </c>
    </row>
    <row r="194" spans="1:20" s="6" customFormat="1" ht="16.5" x14ac:dyDescent="0.25">
      <c r="A194" s="63"/>
      <c r="B194" s="58" t="s">
        <v>213</v>
      </c>
      <c r="C194" s="51">
        <v>223</v>
      </c>
      <c r="D194" s="33">
        <f t="shared" si="60"/>
        <v>10000</v>
      </c>
      <c r="E194" s="33">
        <f t="shared" si="61"/>
        <v>14094.96</v>
      </c>
      <c r="F194" s="91">
        <f t="shared" si="62"/>
        <v>140.94959999999998</v>
      </c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33">
        <v>10000</v>
      </c>
      <c r="T194" s="85">
        <v>14094.96</v>
      </c>
    </row>
    <row r="195" spans="1:20" s="6" customFormat="1" ht="16.5" x14ac:dyDescent="0.25">
      <c r="A195" s="63"/>
      <c r="B195" s="58" t="s">
        <v>214</v>
      </c>
      <c r="C195" s="51">
        <v>223</v>
      </c>
      <c r="D195" s="33">
        <f t="shared" si="60"/>
        <v>127000</v>
      </c>
      <c r="E195" s="33">
        <f t="shared" si="61"/>
        <v>70720.350000000006</v>
      </c>
      <c r="F195" s="91">
        <f t="shared" si="62"/>
        <v>55.685314960629931</v>
      </c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33">
        <v>127000</v>
      </c>
      <c r="T195" s="85">
        <v>70720.350000000006</v>
      </c>
    </row>
    <row r="196" spans="1:20" s="6" customFormat="1" ht="16.5" x14ac:dyDescent="0.25">
      <c r="A196" s="63"/>
      <c r="B196" s="58" t="s">
        <v>215</v>
      </c>
      <c r="C196" s="51">
        <v>223</v>
      </c>
      <c r="D196" s="33">
        <f t="shared" si="60"/>
        <v>48000</v>
      </c>
      <c r="E196" s="33">
        <f t="shared" si="61"/>
        <v>16207.75</v>
      </c>
      <c r="F196" s="91">
        <f t="shared" si="62"/>
        <v>33.766145833333333</v>
      </c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33">
        <v>48000</v>
      </c>
      <c r="T196" s="85">
        <v>16207.75</v>
      </c>
    </row>
    <row r="197" spans="1:20" s="6" customFormat="1" ht="16.5" x14ac:dyDescent="0.25">
      <c r="A197" s="63" t="s">
        <v>216</v>
      </c>
      <c r="B197" s="58" t="s">
        <v>217</v>
      </c>
      <c r="C197" s="51">
        <v>224</v>
      </c>
      <c r="D197" s="33">
        <f t="shared" si="60"/>
        <v>15000</v>
      </c>
      <c r="E197" s="33">
        <f t="shared" si="61"/>
        <v>0</v>
      </c>
      <c r="F197" s="91">
        <f t="shared" si="62"/>
        <v>0</v>
      </c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33">
        <v>15000</v>
      </c>
      <c r="T197" s="85"/>
    </row>
    <row r="198" spans="1:20" s="6" customFormat="1" ht="16.5" x14ac:dyDescent="0.25">
      <c r="A198" s="63" t="s">
        <v>218</v>
      </c>
      <c r="B198" s="58" t="s">
        <v>219</v>
      </c>
      <c r="C198" s="51">
        <v>225</v>
      </c>
      <c r="D198" s="33">
        <f t="shared" si="60"/>
        <v>0</v>
      </c>
      <c r="E198" s="33">
        <f t="shared" si="61"/>
        <v>0</v>
      </c>
      <c r="F198" s="91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33"/>
      <c r="T198" s="85"/>
    </row>
    <row r="199" spans="1:20" s="6" customFormat="1" ht="16.5" x14ac:dyDescent="0.25">
      <c r="A199" s="63" t="s">
        <v>220</v>
      </c>
      <c r="B199" s="58" t="s">
        <v>221</v>
      </c>
      <c r="C199" s="51">
        <v>225</v>
      </c>
      <c r="D199" s="33">
        <f t="shared" si="60"/>
        <v>401000</v>
      </c>
      <c r="E199" s="33">
        <f t="shared" si="61"/>
        <v>131199.01</v>
      </c>
      <c r="F199" s="91">
        <f t="shared" si="62"/>
        <v>32.717957605985035</v>
      </c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33">
        <v>401000</v>
      </c>
      <c r="T199" s="85">
        <v>131199.01</v>
      </c>
    </row>
    <row r="200" spans="1:20" s="6" customFormat="1" ht="16.5" x14ac:dyDescent="0.25">
      <c r="A200" s="63" t="s">
        <v>222</v>
      </c>
      <c r="B200" s="58" t="s">
        <v>223</v>
      </c>
      <c r="C200" s="51">
        <v>226</v>
      </c>
      <c r="D200" s="33">
        <f t="shared" si="60"/>
        <v>17346948.16</v>
      </c>
      <c r="E200" s="33">
        <f t="shared" si="61"/>
        <v>7279120.5599999996</v>
      </c>
      <c r="F200" s="91">
        <f t="shared" si="62"/>
        <v>41.961966409658075</v>
      </c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33">
        <v>17346948.16</v>
      </c>
      <c r="T200" s="85">
        <v>7279120.5599999996</v>
      </c>
    </row>
    <row r="201" spans="1:20" s="6" customFormat="1" ht="16.5" x14ac:dyDescent="0.25">
      <c r="A201" s="63" t="s">
        <v>224</v>
      </c>
      <c r="B201" s="58" t="s">
        <v>225</v>
      </c>
      <c r="C201" s="51">
        <v>226</v>
      </c>
      <c r="D201" s="33">
        <f t="shared" si="60"/>
        <v>1200000</v>
      </c>
      <c r="E201" s="33">
        <f t="shared" si="61"/>
        <v>37531.5</v>
      </c>
      <c r="F201" s="91">
        <f t="shared" si="62"/>
        <v>3.1276249999999997</v>
      </c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33">
        <v>1200000</v>
      </c>
      <c r="T201" s="85">
        <v>37531.5</v>
      </c>
    </row>
    <row r="202" spans="1:20" s="6" customFormat="1" ht="16.5" x14ac:dyDescent="0.25">
      <c r="A202" s="63" t="s">
        <v>226</v>
      </c>
      <c r="B202" s="28" t="s">
        <v>68</v>
      </c>
      <c r="C202" s="51">
        <v>290</v>
      </c>
      <c r="D202" s="33">
        <f t="shared" si="60"/>
        <v>1014000</v>
      </c>
      <c r="E202" s="33">
        <f t="shared" si="61"/>
        <v>638745.81999999995</v>
      </c>
      <c r="F202" s="91">
        <f t="shared" si="62"/>
        <v>62.992684418145949</v>
      </c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33">
        <v>1014000</v>
      </c>
      <c r="T202" s="85">
        <v>638745.81999999995</v>
      </c>
    </row>
    <row r="203" spans="1:20" s="6" customFormat="1" ht="16.5" x14ac:dyDescent="0.25">
      <c r="A203" s="63" t="s">
        <v>227</v>
      </c>
      <c r="B203" s="58" t="s">
        <v>72</v>
      </c>
      <c r="C203" s="51">
        <v>310</v>
      </c>
      <c r="D203" s="33">
        <f t="shared" si="60"/>
        <v>2309745</v>
      </c>
      <c r="E203" s="33">
        <f t="shared" si="61"/>
        <v>763477.07</v>
      </c>
      <c r="F203" s="91">
        <f t="shared" si="62"/>
        <v>33.054604296145243</v>
      </c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33">
        <v>2309745</v>
      </c>
      <c r="T203" s="85">
        <v>763477.07</v>
      </c>
    </row>
    <row r="204" spans="1:20" s="6" customFormat="1" ht="16.5" x14ac:dyDescent="0.25">
      <c r="A204" s="63" t="s">
        <v>228</v>
      </c>
      <c r="B204" s="58" t="s">
        <v>243</v>
      </c>
      <c r="C204" s="51">
        <v>340</v>
      </c>
      <c r="D204" s="33">
        <f t="shared" si="60"/>
        <v>2969343.93</v>
      </c>
      <c r="E204" s="33">
        <f t="shared" si="61"/>
        <v>1035310.96</v>
      </c>
      <c r="F204" s="91">
        <f t="shared" si="62"/>
        <v>34.866656891443355</v>
      </c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33">
        <v>2969343.93</v>
      </c>
      <c r="T204" s="85">
        <v>1035310.96</v>
      </c>
    </row>
    <row r="205" spans="1:20" s="6" customFormat="1" ht="16.5" x14ac:dyDescent="0.25">
      <c r="A205" s="63" t="s">
        <v>286</v>
      </c>
      <c r="B205" s="58" t="s">
        <v>225</v>
      </c>
      <c r="C205" s="51">
        <v>340</v>
      </c>
      <c r="D205" s="33">
        <f t="shared" si="60"/>
        <v>0</v>
      </c>
      <c r="E205" s="33">
        <f t="shared" si="61"/>
        <v>0</v>
      </c>
      <c r="F205" s="91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33"/>
      <c r="T205" s="85"/>
    </row>
    <row r="206" spans="1:20" s="18" customFormat="1" ht="17.25" x14ac:dyDescent="0.25">
      <c r="A206" s="61" t="s">
        <v>229</v>
      </c>
      <c r="B206" s="62" t="s">
        <v>39</v>
      </c>
      <c r="C206" s="49"/>
      <c r="D206" s="34">
        <f t="shared" ref="D206:S206" si="72">SUM(D207+D208+D209+D210+D211+D212+D216+D217+D218+D219+D220+D221+D222)</f>
        <v>330000</v>
      </c>
      <c r="E206" s="34">
        <f t="shared" si="72"/>
        <v>138822.24</v>
      </c>
      <c r="F206" s="91">
        <f t="shared" si="62"/>
        <v>42.067345454545453</v>
      </c>
      <c r="G206" s="34">
        <f t="shared" si="72"/>
        <v>0</v>
      </c>
      <c r="H206" s="34">
        <f t="shared" si="72"/>
        <v>0</v>
      </c>
      <c r="I206" s="34">
        <f t="shared" si="72"/>
        <v>0</v>
      </c>
      <c r="J206" s="34">
        <f t="shared" si="72"/>
        <v>0</v>
      </c>
      <c r="K206" s="34">
        <f t="shared" si="72"/>
        <v>0</v>
      </c>
      <c r="L206" s="34">
        <f t="shared" si="72"/>
        <v>0</v>
      </c>
      <c r="M206" s="34">
        <f t="shared" si="72"/>
        <v>0</v>
      </c>
      <c r="N206" s="34">
        <f t="shared" si="72"/>
        <v>0</v>
      </c>
      <c r="O206" s="34">
        <f t="shared" si="72"/>
        <v>0</v>
      </c>
      <c r="P206" s="34">
        <f t="shared" si="72"/>
        <v>0</v>
      </c>
      <c r="Q206" s="34">
        <f t="shared" si="72"/>
        <v>0</v>
      </c>
      <c r="R206" s="34">
        <f t="shared" si="72"/>
        <v>0</v>
      </c>
      <c r="S206" s="34">
        <f t="shared" si="72"/>
        <v>330000</v>
      </c>
      <c r="T206" s="34">
        <f t="shared" ref="T206" si="73">SUM(T207+T208+T209+T210+T211+T212+T216+T217+T218+T219+T220+T221+T222)</f>
        <v>138822.24</v>
      </c>
    </row>
    <row r="207" spans="1:20" s="6" customFormat="1" ht="16.5" x14ac:dyDescent="0.25">
      <c r="A207" s="63" t="s">
        <v>230</v>
      </c>
      <c r="B207" s="28" t="s">
        <v>47</v>
      </c>
      <c r="C207" s="51">
        <v>211</v>
      </c>
      <c r="D207" s="33">
        <f t="shared" si="60"/>
        <v>0</v>
      </c>
      <c r="E207" s="33">
        <f t="shared" si="61"/>
        <v>0</v>
      </c>
      <c r="F207" s="91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86"/>
    </row>
    <row r="208" spans="1:20" s="6" customFormat="1" ht="16.5" x14ac:dyDescent="0.25">
      <c r="A208" s="63" t="s">
        <v>231</v>
      </c>
      <c r="B208" s="28" t="s">
        <v>49</v>
      </c>
      <c r="C208" s="51">
        <v>212</v>
      </c>
      <c r="D208" s="33">
        <f t="shared" si="60"/>
        <v>0</v>
      </c>
      <c r="E208" s="33">
        <f t="shared" si="61"/>
        <v>0</v>
      </c>
      <c r="F208" s="91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86"/>
    </row>
    <row r="209" spans="1:20" s="6" customFormat="1" ht="16.5" x14ac:dyDescent="0.25">
      <c r="A209" s="63" t="s">
        <v>232</v>
      </c>
      <c r="B209" s="28" t="s">
        <v>51</v>
      </c>
      <c r="C209" s="51">
        <v>213</v>
      </c>
      <c r="D209" s="33">
        <f t="shared" si="60"/>
        <v>0</v>
      </c>
      <c r="E209" s="33">
        <f t="shared" si="61"/>
        <v>0</v>
      </c>
      <c r="F209" s="91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86"/>
    </row>
    <row r="210" spans="1:20" s="6" customFormat="1" ht="16.5" x14ac:dyDescent="0.25">
      <c r="A210" s="63" t="s">
        <v>233</v>
      </c>
      <c r="B210" s="28" t="s">
        <v>53</v>
      </c>
      <c r="C210" s="51">
        <v>221</v>
      </c>
      <c r="D210" s="33">
        <f t="shared" si="60"/>
        <v>25000</v>
      </c>
      <c r="E210" s="33">
        <f t="shared" si="61"/>
        <v>7729</v>
      </c>
      <c r="F210" s="91">
        <f t="shared" si="62"/>
        <v>30.916</v>
      </c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33">
        <v>25000</v>
      </c>
      <c r="T210" s="85">
        <v>7729</v>
      </c>
    </row>
    <row r="211" spans="1:20" s="6" customFormat="1" ht="16.5" x14ac:dyDescent="0.25">
      <c r="A211" s="63" t="s">
        <v>234</v>
      </c>
      <c r="B211" s="28" t="s">
        <v>55</v>
      </c>
      <c r="C211" s="51">
        <v>222</v>
      </c>
      <c r="D211" s="33">
        <f t="shared" si="60"/>
        <v>0</v>
      </c>
      <c r="E211" s="33">
        <f t="shared" si="61"/>
        <v>0</v>
      </c>
      <c r="F211" s="91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33"/>
      <c r="T211" s="85"/>
    </row>
    <row r="212" spans="1:20" s="6" customFormat="1" ht="16.5" x14ac:dyDescent="0.25">
      <c r="A212" s="63" t="s">
        <v>235</v>
      </c>
      <c r="B212" s="28" t="s">
        <v>57</v>
      </c>
      <c r="C212" s="51">
        <v>223</v>
      </c>
      <c r="D212" s="33">
        <f t="shared" si="60"/>
        <v>10000</v>
      </c>
      <c r="E212" s="33">
        <f t="shared" si="61"/>
        <v>0</v>
      </c>
      <c r="F212" s="91">
        <f t="shared" si="62"/>
        <v>0</v>
      </c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33">
        <f>SUM(S213:S215)</f>
        <v>10000</v>
      </c>
      <c r="T212" s="85"/>
    </row>
    <row r="213" spans="1:20" s="6" customFormat="1" ht="16.5" x14ac:dyDescent="0.25">
      <c r="A213" s="63"/>
      <c r="B213" s="58" t="s">
        <v>213</v>
      </c>
      <c r="C213" s="51">
        <v>223</v>
      </c>
      <c r="D213" s="33">
        <f t="shared" si="60"/>
        <v>0</v>
      </c>
      <c r="E213" s="33">
        <f t="shared" si="61"/>
        <v>0</v>
      </c>
      <c r="F213" s="91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33"/>
      <c r="T213" s="85"/>
    </row>
    <row r="214" spans="1:20" s="6" customFormat="1" ht="16.5" x14ac:dyDescent="0.25">
      <c r="A214" s="63"/>
      <c r="B214" s="58" t="s">
        <v>214</v>
      </c>
      <c r="C214" s="51">
        <v>223</v>
      </c>
      <c r="D214" s="33">
        <f t="shared" si="60"/>
        <v>10000</v>
      </c>
      <c r="E214" s="33">
        <f t="shared" si="61"/>
        <v>0</v>
      </c>
      <c r="F214" s="91">
        <f t="shared" si="62"/>
        <v>0</v>
      </c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33">
        <v>10000</v>
      </c>
      <c r="T214" s="85"/>
    </row>
    <row r="215" spans="1:20" s="6" customFormat="1" ht="16.5" x14ac:dyDescent="0.25">
      <c r="A215" s="63"/>
      <c r="B215" s="58" t="s">
        <v>215</v>
      </c>
      <c r="C215" s="51">
        <v>223</v>
      </c>
      <c r="D215" s="33">
        <f t="shared" si="60"/>
        <v>0</v>
      </c>
      <c r="E215" s="33">
        <f t="shared" si="61"/>
        <v>0</v>
      </c>
      <c r="F215" s="91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33"/>
      <c r="T215" s="85"/>
    </row>
    <row r="216" spans="1:20" s="6" customFormat="1" ht="16.5" x14ac:dyDescent="0.25">
      <c r="A216" s="63" t="s">
        <v>236</v>
      </c>
      <c r="B216" s="58" t="s">
        <v>217</v>
      </c>
      <c r="C216" s="51">
        <v>224</v>
      </c>
      <c r="D216" s="33">
        <f t="shared" si="60"/>
        <v>57200</v>
      </c>
      <c r="E216" s="33">
        <f t="shared" si="61"/>
        <v>21508.85</v>
      </c>
      <c r="F216" s="91">
        <f t="shared" si="62"/>
        <v>37.60288461538461</v>
      </c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33">
        <v>57200</v>
      </c>
      <c r="T216" s="85">
        <v>21508.85</v>
      </c>
    </row>
    <row r="217" spans="1:20" s="6" customFormat="1" ht="16.5" x14ac:dyDescent="0.25">
      <c r="A217" s="63" t="s">
        <v>237</v>
      </c>
      <c r="B217" s="58" t="s">
        <v>219</v>
      </c>
      <c r="C217" s="51">
        <v>225</v>
      </c>
      <c r="D217" s="33">
        <f t="shared" ref="D217:D258" si="74">SUM(G217+I217+K217+M217+O217+Q217+S217)</f>
        <v>0</v>
      </c>
      <c r="E217" s="33">
        <f t="shared" ref="E217:E258" si="75">SUM(H217+J217+L217+N217+P217+R217+T217)</f>
        <v>0</v>
      </c>
      <c r="F217" s="91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33"/>
      <c r="T217" s="85"/>
    </row>
    <row r="218" spans="1:20" s="6" customFormat="1" ht="16.5" x14ac:dyDescent="0.25">
      <c r="A218" s="63" t="s">
        <v>238</v>
      </c>
      <c r="B218" s="28" t="s">
        <v>64</v>
      </c>
      <c r="C218" s="51">
        <v>225</v>
      </c>
      <c r="D218" s="33">
        <f t="shared" si="74"/>
        <v>25000</v>
      </c>
      <c r="E218" s="33">
        <f t="shared" si="75"/>
        <v>18816</v>
      </c>
      <c r="F218" s="91">
        <f t="shared" si="62"/>
        <v>75.263999999999996</v>
      </c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33">
        <v>25000</v>
      </c>
      <c r="T218" s="85">
        <v>18816</v>
      </c>
    </row>
    <row r="219" spans="1:20" s="6" customFormat="1" ht="16.5" x14ac:dyDescent="0.25">
      <c r="A219" s="63" t="s">
        <v>239</v>
      </c>
      <c r="B219" s="28" t="s">
        <v>66</v>
      </c>
      <c r="C219" s="51">
        <v>226</v>
      </c>
      <c r="D219" s="33">
        <f t="shared" si="74"/>
        <v>50800</v>
      </c>
      <c r="E219" s="33">
        <f t="shared" si="75"/>
        <v>36809</v>
      </c>
      <c r="F219" s="91">
        <f t="shared" si="62"/>
        <v>72.45866141732283</v>
      </c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33">
        <v>50800</v>
      </c>
      <c r="T219" s="85">
        <v>36809</v>
      </c>
    </row>
    <row r="220" spans="1:20" s="6" customFormat="1" ht="16.5" x14ac:dyDescent="0.25">
      <c r="A220" s="63" t="s">
        <v>240</v>
      </c>
      <c r="B220" s="28" t="s">
        <v>68</v>
      </c>
      <c r="C220" s="51">
        <v>290</v>
      </c>
      <c r="D220" s="33">
        <f t="shared" si="74"/>
        <v>5000</v>
      </c>
      <c r="E220" s="33">
        <f t="shared" si="75"/>
        <v>0</v>
      </c>
      <c r="F220" s="91">
        <f t="shared" si="62"/>
        <v>0</v>
      </c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33">
        <v>5000</v>
      </c>
      <c r="T220" s="85"/>
    </row>
    <row r="221" spans="1:20" s="6" customFormat="1" ht="16.5" x14ac:dyDescent="0.25">
      <c r="A221" s="63" t="s">
        <v>241</v>
      </c>
      <c r="B221" s="58" t="s">
        <v>72</v>
      </c>
      <c r="C221" s="51">
        <v>310</v>
      </c>
      <c r="D221" s="33">
        <f t="shared" si="74"/>
        <v>25000</v>
      </c>
      <c r="E221" s="33">
        <f t="shared" si="75"/>
        <v>7880</v>
      </c>
      <c r="F221" s="91">
        <f t="shared" si="62"/>
        <v>31.52</v>
      </c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33">
        <v>25000</v>
      </c>
      <c r="T221" s="85">
        <v>7880</v>
      </c>
    </row>
    <row r="222" spans="1:20" s="6" customFormat="1" ht="16.5" x14ac:dyDescent="0.25">
      <c r="A222" s="63" t="s">
        <v>242</v>
      </c>
      <c r="B222" s="58" t="s">
        <v>243</v>
      </c>
      <c r="C222" s="51">
        <v>340</v>
      </c>
      <c r="D222" s="33">
        <f t="shared" si="74"/>
        <v>132000</v>
      </c>
      <c r="E222" s="33">
        <f t="shared" si="75"/>
        <v>46079.39</v>
      </c>
      <c r="F222" s="91">
        <f t="shared" si="62"/>
        <v>34.90862878787879</v>
      </c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33">
        <v>132000</v>
      </c>
      <c r="T222" s="85">
        <v>46079.39</v>
      </c>
    </row>
    <row r="223" spans="1:20" s="18" customFormat="1" ht="17.25" x14ac:dyDescent="0.25">
      <c r="A223" s="61" t="s">
        <v>244</v>
      </c>
      <c r="B223" s="62" t="s">
        <v>40</v>
      </c>
      <c r="C223" s="49"/>
      <c r="D223" s="34">
        <f t="shared" ref="D223:T223" si="76">SUM(D224+D225+D226+D227+D228+D229+D233+D234+D235+D236+D237+D238+D239+D240)</f>
        <v>0</v>
      </c>
      <c r="E223" s="34">
        <f t="shared" si="76"/>
        <v>0</v>
      </c>
      <c r="F223" s="91"/>
      <c r="G223" s="34">
        <f t="shared" si="76"/>
        <v>0</v>
      </c>
      <c r="H223" s="34">
        <f t="shared" si="76"/>
        <v>0</v>
      </c>
      <c r="I223" s="34">
        <f t="shared" si="76"/>
        <v>0</v>
      </c>
      <c r="J223" s="34">
        <f t="shared" si="76"/>
        <v>0</v>
      </c>
      <c r="K223" s="34">
        <f t="shared" si="76"/>
        <v>0</v>
      </c>
      <c r="L223" s="34">
        <f t="shared" si="76"/>
        <v>0</v>
      </c>
      <c r="M223" s="34">
        <f t="shared" si="76"/>
        <v>0</v>
      </c>
      <c r="N223" s="34">
        <f t="shared" si="76"/>
        <v>0</v>
      </c>
      <c r="O223" s="34">
        <f t="shared" si="76"/>
        <v>0</v>
      </c>
      <c r="P223" s="34">
        <f t="shared" si="76"/>
        <v>0</v>
      </c>
      <c r="Q223" s="34">
        <f t="shared" si="76"/>
        <v>0</v>
      </c>
      <c r="R223" s="34">
        <f t="shared" si="76"/>
        <v>0</v>
      </c>
      <c r="S223" s="34">
        <f t="shared" si="76"/>
        <v>0</v>
      </c>
      <c r="T223" s="34">
        <f t="shared" si="76"/>
        <v>0</v>
      </c>
    </row>
    <row r="224" spans="1:20" s="6" customFormat="1" ht="16.5" hidden="1" x14ac:dyDescent="0.25">
      <c r="A224" s="63" t="s">
        <v>245</v>
      </c>
      <c r="B224" s="28" t="s">
        <v>47</v>
      </c>
      <c r="C224" s="51">
        <v>211</v>
      </c>
      <c r="D224" s="33">
        <f t="shared" si="74"/>
        <v>0</v>
      </c>
      <c r="E224" s="33">
        <f t="shared" si="75"/>
        <v>0</v>
      </c>
      <c r="F224" s="91" t="e">
        <f t="shared" si="62"/>
        <v>#DIV/0!</v>
      </c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33"/>
      <c r="T224" s="33"/>
    </row>
    <row r="225" spans="1:20" s="6" customFormat="1" ht="16.5" hidden="1" x14ac:dyDescent="0.25">
      <c r="A225" s="63" t="s">
        <v>246</v>
      </c>
      <c r="B225" s="28" t="s">
        <v>49</v>
      </c>
      <c r="C225" s="51">
        <v>212</v>
      </c>
      <c r="D225" s="33">
        <f t="shared" si="74"/>
        <v>0</v>
      </c>
      <c r="E225" s="33">
        <f t="shared" si="75"/>
        <v>0</v>
      </c>
      <c r="F225" s="91" t="e">
        <f t="shared" si="62"/>
        <v>#DIV/0!</v>
      </c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33"/>
      <c r="T225" s="33"/>
    </row>
    <row r="226" spans="1:20" s="6" customFormat="1" ht="16.5" hidden="1" x14ac:dyDescent="0.25">
      <c r="A226" s="63" t="s">
        <v>247</v>
      </c>
      <c r="B226" s="28" t="s">
        <v>51</v>
      </c>
      <c r="C226" s="51">
        <v>213</v>
      </c>
      <c r="D226" s="33">
        <f t="shared" si="74"/>
        <v>0</v>
      </c>
      <c r="E226" s="33">
        <f t="shared" si="75"/>
        <v>0</v>
      </c>
      <c r="F226" s="91" t="e">
        <f t="shared" si="62"/>
        <v>#DIV/0!</v>
      </c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33"/>
      <c r="T226" s="33"/>
    </row>
    <row r="227" spans="1:20" s="6" customFormat="1" ht="16.5" hidden="1" x14ac:dyDescent="0.25">
      <c r="A227" s="63" t="s">
        <v>248</v>
      </c>
      <c r="B227" s="28" t="s">
        <v>53</v>
      </c>
      <c r="C227" s="51">
        <v>221</v>
      </c>
      <c r="D227" s="33">
        <f t="shared" si="74"/>
        <v>0</v>
      </c>
      <c r="E227" s="33">
        <f t="shared" si="75"/>
        <v>0</v>
      </c>
      <c r="F227" s="91" t="e">
        <f t="shared" ref="F227:F258" si="77">SUM(E227/D227*100)</f>
        <v>#DIV/0!</v>
      </c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33"/>
      <c r="T227" s="33"/>
    </row>
    <row r="228" spans="1:20" s="6" customFormat="1" ht="16.5" hidden="1" x14ac:dyDescent="0.25">
      <c r="A228" s="63" t="s">
        <v>249</v>
      </c>
      <c r="B228" s="28" t="s">
        <v>55</v>
      </c>
      <c r="C228" s="51">
        <v>222</v>
      </c>
      <c r="D228" s="33">
        <f t="shared" si="74"/>
        <v>0</v>
      </c>
      <c r="E228" s="33">
        <f t="shared" si="75"/>
        <v>0</v>
      </c>
      <c r="F228" s="91" t="e">
        <f t="shared" si="77"/>
        <v>#DIV/0!</v>
      </c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33"/>
      <c r="T228" s="33"/>
    </row>
    <row r="229" spans="1:20" s="6" customFormat="1" ht="16.5" hidden="1" x14ac:dyDescent="0.25">
      <c r="A229" s="63" t="s">
        <v>250</v>
      </c>
      <c r="B229" s="28" t="s">
        <v>57</v>
      </c>
      <c r="C229" s="51">
        <v>223</v>
      </c>
      <c r="D229" s="33">
        <f t="shared" si="74"/>
        <v>0</v>
      </c>
      <c r="E229" s="33">
        <f t="shared" si="75"/>
        <v>0</v>
      </c>
      <c r="F229" s="91" t="e">
        <f t="shared" si="77"/>
        <v>#DIV/0!</v>
      </c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33"/>
      <c r="T229" s="33"/>
    </row>
    <row r="230" spans="1:20" s="6" customFormat="1" ht="16.5" hidden="1" x14ac:dyDescent="0.25">
      <c r="A230" s="63"/>
      <c r="B230" s="58" t="s">
        <v>213</v>
      </c>
      <c r="C230" s="51">
        <v>223</v>
      </c>
      <c r="D230" s="33">
        <f t="shared" si="74"/>
        <v>0</v>
      </c>
      <c r="E230" s="33">
        <f t="shared" si="75"/>
        <v>0</v>
      </c>
      <c r="F230" s="91" t="e">
        <f t="shared" si="77"/>
        <v>#DIV/0!</v>
      </c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33"/>
      <c r="T230" s="33"/>
    </row>
    <row r="231" spans="1:20" s="6" customFormat="1" ht="16.5" hidden="1" x14ac:dyDescent="0.25">
      <c r="A231" s="63"/>
      <c r="B231" s="58" t="s">
        <v>214</v>
      </c>
      <c r="C231" s="51">
        <v>223</v>
      </c>
      <c r="D231" s="33">
        <f t="shared" si="74"/>
        <v>0</v>
      </c>
      <c r="E231" s="33">
        <f t="shared" si="75"/>
        <v>0</v>
      </c>
      <c r="F231" s="91" t="e">
        <f t="shared" si="77"/>
        <v>#DIV/0!</v>
      </c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33"/>
      <c r="T231" s="33"/>
    </row>
    <row r="232" spans="1:20" s="6" customFormat="1" ht="16.5" hidden="1" x14ac:dyDescent="0.25">
      <c r="A232" s="63"/>
      <c r="B232" s="58" t="s">
        <v>215</v>
      </c>
      <c r="C232" s="51">
        <v>223</v>
      </c>
      <c r="D232" s="33">
        <f t="shared" si="74"/>
        <v>0</v>
      </c>
      <c r="E232" s="33">
        <f t="shared" si="75"/>
        <v>0</v>
      </c>
      <c r="F232" s="91" t="e">
        <f t="shared" si="77"/>
        <v>#DIV/0!</v>
      </c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33"/>
      <c r="T232" s="33"/>
    </row>
    <row r="233" spans="1:20" s="6" customFormat="1" ht="16.5" hidden="1" x14ac:dyDescent="0.25">
      <c r="A233" s="63" t="s">
        <v>251</v>
      </c>
      <c r="B233" s="58" t="s">
        <v>217</v>
      </c>
      <c r="C233" s="51">
        <v>224</v>
      </c>
      <c r="D233" s="33">
        <f t="shared" si="74"/>
        <v>0</v>
      </c>
      <c r="E233" s="33">
        <f t="shared" si="75"/>
        <v>0</v>
      </c>
      <c r="F233" s="91" t="e">
        <f t="shared" si="77"/>
        <v>#DIV/0!</v>
      </c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33"/>
      <c r="T233" s="33"/>
    </row>
    <row r="234" spans="1:20" s="6" customFormat="1" ht="16.5" hidden="1" x14ac:dyDescent="0.25">
      <c r="A234" s="63" t="s">
        <v>252</v>
      </c>
      <c r="B234" s="58" t="s">
        <v>219</v>
      </c>
      <c r="C234" s="51">
        <v>225</v>
      </c>
      <c r="D234" s="33">
        <f t="shared" si="74"/>
        <v>0</v>
      </c>
      <c r="E234" s="33">
        <f t="shared" si="75"/>
        <v>0</v>
      </c>
      <c r="F234" s="91" t="e">
        <f t="shared" si="77"/>
        <v>#DIV/0!</v>
      </c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33"/>
      <c r="T234" s="33"/>
    </row>
    <row r="235" spans="1:20" s="6" customFormat="1" ht="16.5" hidden="1" x14ac:dyDescent="0.25">
      <c r="A235" s="63" t="s">
        <v>253</v>
      </c>
      <c r="B235" s="28" t="s">
        <v>64</v>
      </c>
      <c r="C235" s="51">
        <v>225</v>
      </c>
      <c r="D235" s="33">
        <f t="shared" si="74"/>
        <v>0</v>
      </c>
      <c r="E235" s="33">
        <f t="shared" si="75"/>
        <v>0</v>
      </c>
      <c r="F235" s="91" t="e">
        <f t="shared" si="77"/>
        <v>#DIV/0!</v>
      </c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33"/>
      <c r="T235" s="33"/>
    </row>
    <row r="236" spans="1:20" s="6" customFormat="1" ht="16.5" hidden="1" x14ac:dyDescent="0.25">
      <c r="A236" s="63" t="s">
        <v>254</v>
      </c>
      <c r="B236" s="28" t="s">
        <v>66</v>
      </c>
      <c r="C236" s="51">
        <v>226</v>
      </c>
      <c r="D236" s="33">
        <f t="shared" si="74"/>
        <v>0</v>
      </c>
      <c r="E236" s="33">
        <f t="shared" si="75"/>
        <v>0</v>
      </c>
      <c r="F236" s="91" t="e">
        <f t="shared" si="77"/>
        <v>#DIV/0!</v>
      </c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33"/>
      <c r="T236" s="33"/>
    </row>
    <row r="237" spans="1:20" s="6" customFormat="1" ht="16.5" hidden="1" x14ac:dyDescent="0.25">
      <c r="A237" s="63" t="s">
        <v>255</v>
      </c>
      <c r="B237" s="58" t="s">
        <v>225</v>
      </c>
      <c r="C237" s="51">
        <v>226</v>
      </c>
      <c r="D237" s="33">
        <f t="shared" si="74"/>
        <v>0</v>
      </c>
      <c r="E237" s="33">
        <f t="shared" si="75"/>
        <v>0</v>
      </c>
      <c r="F237" s="91" t="e">
        <f t="shared" si="77"/>
        <v>#DIV/0!</v>
      </c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33"/>
      <c r="T237" s="33"/>
    </row>
    <row r="238" spans="1:20" s="6" customFormat="1" ht="16.5" hidden="1" x14ac:dyDescent="0.25">
      <c r="A238" s="63" t="s">
        <v>256</v>
      </c>
      <c r="B238" s="28" t="s">
        <v>68</v>
      </c>
      <c r="C238" s="51">
        <v>290</v>
      </c>
      <c r="D238" s="33">
        <f t="shared" si="74"/>
        <v>0</v>
      </c>
      <c r="E238" s="33">
        <f t="shared" si="75"/>
        <v>0</v>
      </c>
      <c r="F238" s="91" t="e">
        <f t="shared" si="77"/>
        <v>#DIV/0!</v>
      </c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33"/>
      <c r="T238" s="33"/>
    </row>
    <row r="239" spans="1:20" s="6" customFormat="1" ht="16.5" hidden="1" x14ac:dyDescent="0.25">
      <c r="A239" s="63" t="s">
        <v>257</v>
      </c>
      <c r="B239" s="58" t="s">
        <v>72</v>
      </c>
      <c r="C239" s="51">
        <v>310</v>
      </c>
      <c r="D239" s="33">
        <f t="shared" si="74"/>
        <v>0</v>
      </c>
      <c r="E239" s="33">
        <f t="shared" si="75"/>
        <v>0</v>
      </c>
      <c r="F239" s="91" t="e">
        <f t="shared" si="77"/>
        <v>#DIV/0!</v>
      </c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33"/>
      <c r="T239" s="33"/>
    </row>
    <row r="240" spans="1:20" s="6" customFormat="1" ht="16.5" hidden="1" x14ac:dyDescent="0.25">
      <c r="A240" s="63" t="s">
        <v>258</v>
      </c>
      <c r="B240" s="58" t="s">
        <v>243</v>
      </c>
      <c r="C240" s="51">
        <v>340</v>
      </c>
      <c r="D240" s="33">
        <f t="shared" si="74"/>
        <v>0</v>
      </c>
      <c r="E240" s="33">
        <f t="shared" si="75"/>
        <v>0</v>
      </c>
      <c r="F240" s="91" t="e">
        <f t="shared" si="77"/>
        <v>#DIV/0!</v>
      </c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33"/>
      <c r="T240" s="33"/>
    </row>
    <row r="241" spans="1:20" s="18" customFormat="1" ht="17.25" x14ac:dyDescent="0.25">
      <c r="A241" s="61" t="s">
        <v>259</v>
      </c>
      <c r="B241" s="62" t="s">
        <v>41</v>
      </c>
      <c r="C241" s="49"/>
      <c r="D241" s="34">
        <f t="shared" ref="D241:S241" si="78">SUM(D242+D243+D244+D245+D246+D247+D251+D252+D253+D254+D255+D256+D257+D258)</f>
        <v>13868138.93</v>
      </c>
      <c r="E241" s="34">
        <f>SUM(E242+E243+E244+E245+E246+E247+E251+E252+E253+E254+E255+E256+E257+E258)</f>
        <v>4610993.6400000006</v>
      </c>
      <c r="F241" s="91">
        <f t="shared" si="77"/>
        <v>33.248827858403928</v>
      </c>
      <c r="G241" s="34">
        <f t="shared" si="78"/>
        <v>0</v>
      </c>
      <c r="H241" s="34">
        <f t="shared" si="78"/>
        <v>0</v>
      </c>
      <c r="I241" s="34">
        <f t="shared" si="78"/>
        <v>0</v>
      </c>
      <c r="J241" s="34">
        <f t="shared" si="78"/>
        <v>0</v>
      </c>
      <c r="K241" s="34">
        <f t="shared" si="78"/>
        <v>0</v>
      </c>
      <c r="L241" s="34">
        <f t="shared" si="78"/>
        <v>0</v>
      </c>
      <c r="M241" s="34">
        <f t="shared" si="78"/>
        <v>0</v>
      </c>
      <c r="N241" s="34">
        <f t="shared" si="78"/>
        <v>0</v>
      </c>
      <c r="O241" s="34">
        <f t="shared" si="78"/>
        <v>0</v>
      </c>
      <c r="P241" s="34">
        <f t="shared" si="78"/>
        <v>0</v>
      </c>
      <c r="Q241" s="34">
        <f t="shared" si="78"/>
        <v>0</v>
      </c>
      <c r="R241" s="34">
        <f t="shared" si="78"/>
        <v>0</v>
      </c>
      <c r="S241" s="34">
        <f t="shared" si="78"/>
        <v>13868138.93</v>
      </c>
      <c r="T241" s="34">
        <f t="shared" ref="T241" si="79">SUM(T242+T243+T244+T245+T246+T247+T251+T252+T253+T254+T255+T256+T257+T258)</f>
        <v>4610993.6400000006</v>
      </c>
    </row>
    <row r="242" spans="1:20" s="6" customFormat="1" ht="16.5" x14ac:dyDescent="0.25">
      <c r="A242" s="63" t="s">
        <v>260</v>
      </c>
      <c r="B242" s="28" t="s">
        <v>47</v>
      </c>
      <c r="C242" s="51">
        <v>211</v>
      </c>
      <c r="D242" s="33">
        <f t="shared" si="74"/>
        <v>4009861.52</v>
      </c>
      <c r="E242" s="33">
        <f t="shared" si="75"/>
        <v>1342634.56</v>
      </c>
      <c r="F242" s="91">
        <f t="shared" si="77"/>
        <v>33.483314905099263</v>
      </c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33">
        <v>4009861.52</v>
      </c>
      <c r="T242" s="85">
        <v>1342634.56</v>
      </c>
    </row>
    <row r="243" spans="1:20" s="6" customFormat="1" ht="16.5" x14ac:dyDescent="0.25">
      <c r="A243" s="63" t="s">
        <v>261</v>
      </c>
      <c r="B243" s="28" t="s">
        <v>49</v>
      </c>
      <c r="C243" s="51">
        <v>212</v>
      </c>
      <c r="D243" s="33">
        <f t="shared" si="74"/>
        <v>0</v>
      </c>
      <c r="E243" s="33">
        <f t="shared" si="75"/>
        <v>0</v>
      </c>
      <c r="F243" s="91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33">
        <v>0</v>
      </c>
      <c r="T243" s="85"/>
    </row>
    <row r="244" spans="1:20" s="6" customFormat="1" ht="16.5" x14ac:dyDescent="0.25">
      <c r="A244" s="63" t="s">
        <v>262</v>
      </c>
      <c r="B244" s="28" t="s">
        <v>51</v>
      </c>
      <c r="C244" s="51">
        <v>213</v>
      </c>
      <c r="D244" s="33">
        <f t="shared" si="74"/>
        <v>1224278.3500000001</v>
      </c>
      <c r="E244" s="33">
        <f t="shared" si="75"/>
        <v>409718.26</v>
      </c>
      <c r="F244" s="91">
        <f t="shared" si="77"/>
        <v>33.466103521311148</v>
      </c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33">
        <v>1224278.3500000001</v>
      </c>
      <c r="T244" s="85">
        <v>409718.26</v>
      </c>
    </row>
    <row r="245" spans="1:20" s="6" customFormat="1" ht="16.5" x14ac:dyDescent="0.25">
      <c r="A245" s="63" t="s">
        <v>263</v>
      </c>
      <c r="B245" s="28" t="s">
        <v>53</v>
      </c>
      <c r="C245" s="51">
        <v>221</v>
      </c>
      <c r="D245" s="33">
        <f t="shared" si="74"/>
        <v>426719.24</v>
      </c>
      <c r="E245" s="33">
        <f t="shared" si="75"/>
        <v>127342.61</v>
      </c>
      <c r="F245" s="91">
        <f t="shared" si="77"/>
        <v>29.842247094365842</v>
      </c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33">
        <v>426719.24</v>
      </c>
      <c r="T245" s="85">
        <v>127342.61</v>
      </c>
    </row>
    <row r="246" spans="1:20" s="6" customFormat="1" ht="16.5" x14ac:dyDescent="0.25">
      <c r="A246" s="63" t="s">
        <v>264</v>
      </c>
      <c r="B246" s="28" t="s">
        <v>55</v>
      </c>
      <c r="C246" s="51">
        <v>222</v>
      </c>
      <c r="D246" s="33">
        <f t="shared" si="74"/>
        <v>153000</v>
      </c>
      <c r="E246" s="33">
        <f t="shared" si="75"/>
        <v>58160</v>
      </c>
      <c r="F246" s="91">
        <f t="shared" si="77"/>
        <v>38.013071895424837</v>
      </c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33">
        <v>153000</v>
      </c>
      <c r="T246" s="85">
        <v>58160</v>
      </c>
    </row>
    <row r="247" spans="1:20" s="6" customFormat="1" ht="16.5" x14ac:dyDescent="0.25">
      <c r="A247" s="63" t="s">
        <v>265</v>
      </c>
      <c r="B247" s="28" t="s">
        <v>57</v>
      </c>
      <c r="C247" s="51">
        <v>223</v>
      </c>
      <c r="D247" s="33">
        <f t="shared" si="74"/>
        <v>0</v>
      </c>
      <c r="E247" s="33">
        <f t="shared" si="75"/>
        <v>0</v>
      </c>
      <c r="F247" s="91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33"/>
      <c r="T247" s="85"/>
    </row>
    <row r="248" spans="1:20" s="6" customFormat="1" ht="16.5" hidden="1" x14ac:dyDescent="0.25">
      <c r="A248" s="63"/>
      <c r="B248" s="58" t="s">
        <v>213</v>
      </c>
      <c r="C248" s="51">
        <v>223</v>
      </c>
      <c r="D248" s="33">
        <f t="shared" si="74"/>
        <v>0</v>
      </c>
      <c r="E248" s="33">
        <f t="shared" si="75"/>
        <v>0</v>
      </c>
      <c r="F248" s="91" t="e">
        <f t="shared" si="77"/>
        <v>#DIV/0!</v>
      </c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33"/>
      <c r="T248" s="85"/>
    </row>
    <row r="249" spans="1:20" s="6" customFormat="1" ht="16.5" hidden="1" x14ac:dyDescent="0.25">
      <c r="A249" s="63"/>
      <c r="B249" s="58" t="s">
        <v>214</v>
      </c>
      <c r="C249" s="51">
        <v>223</v>
      </c>
      <c r="D249" s="33">
        <f t="shared" si="74"/>
        <v>0</v>
      </c>
      <c r="E249" s="33">
        <f t="shared" si="75"/>
        <v>0</v>
      </c>
      <c r="F249" s="91" t="e">
        <f t="shared" si="77"/>
        <v>#DIV/0!</v>
      </c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33"/>
      <c r="T249" s="85"/>
    </row>
    <row r="250" spans="1:20" s="6" customFormat="1" ht="16.5" hidden="1" x14ac:dyDescent="0.25">
      <c r="A250" s="63"/>
      <c r="B250" s="58" t="s">
        <v>215</v>
      </c>
      <c r="C250" s="51">
        <v>223</v>
      </c>
      <c r="D250" s="33">
        <f t="shared" si="74"/>
        <v>0</v>
      </c>
      <c r="E250" s="33">
        <f t="shared" si="75"/>
        <v>0</v>
      </c>
      <c r="F250" s="91" t="e">
        <f t="shared" si="77"/>
        <v>#DIV/0!</v>
      </c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33"/>
      <c r="T250" s="85"/>
    </row>
    <row r="251" spans="1:20" s="6" customFormat="1" ht="16.5" x14ac:dyDescent="0.25">
      <c r="A251" s="63" t="s">
        <v>266</v>
      </c>
      <c r="B251" s="58" t="s">
        <v>217</v>
      </c>
      <c r="C251" s="51">
        <v>224</v>
      </c>
      <c r="D251" s="33">
        <f t="shared" si="74"/>
        <v>100000</v>
      </c>
      <c r="E251" s="33">
        <f t="shared" si="75"/>
        <v>33320</v>
      </c>
      <c r="F251" s="91">
        <f t="shared" si="77"/>
        <v>33.32</v>
      </c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33">
        <v>100000</v>
      </c>
      <c r="T251" s="85">
        <v>33320</v>
      </c>
    </row>
    <row r="252" spans="1:20" s="6" customFormat="1" ht="16.5" x14ac:dyDescent="0.25">
      <c r="A252" s="63" t="s">
        <v>267</v>
      </c>
      <c r="B252" s="58" t="s">
        <v>219</v>
      </c>
      <c r="C252" s="51">
        <v>225</v>
      </c>
      <c r="D252" s="33">
        <f t="shared" si="74"/>
        <v>0</v>
      </c>
      <c r="E252" s="33">
        <f t="shared" si="75"/>
        <v>0</v>
      </c>
      <c r="F252" s="91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33"/>
      <c r="T252" s="85"/>
    </row>
    <row r="253" spans="1:20" s="6" customFormat="1" ht="16.5" x14ac:dyDescent="0.25">
      <c r="A253" s="63" t="s">
        <v>268</v>
      </c>
      <c r="B253" s="28" t="s">
        <v>64</v>
      </c>
      <c r="C253" s="51">
        <v>225</v>
      </c>
      <c r="D253" s="33">
        <f t="shared" si="74"/>
        <v>535828</v>
      </c>
      <c r="E253" s="33">
        <f t="shared" si="75"/>
        <v>114294.25</v>
      </c>
      <c r="F253" s="91">
        <f t="shared" si="77"/>
        <v>21.330398933986281</v>
      </c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33">
        <v>535828</v>
      </c>
      <c r="T253" s="85">
        <v>114294.25</v>
      </c>
    </row>
    <row r="254" spans="1:20" s="6" customFormat="1" ht="16.5" x14ac:dyDescent="0.25">
      <c r="A254" s="63" t="s">
        <v>269</v>
      </c>
      <c r="B254" s="28" t="s">
        <v>66</v>
      </c>
      <c r="C254" s="51">
        <v>226</v>
      </c>
      <c r="D254" s="33">
        <f t="shared" si="74"/>
        <v>1387991.93</v>
      </c>
      <c r="E254" s="33">
        <f t="shared" si="75"/>
        <v>576696.29</v>
      </c>
      <c r="F254" s="91">
        <f t="shared" si="77"/>
        <v>41.54896563411576</v>
      </c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33">
        <v>1387991.93</v>
      </c>
      <c r="T254" s="85">
        <v>576696.29</v>
      </c>
    </row>
    <row r="255" spans="1:20" s="6" customFormat="1" ht="16.5" x14ac:dyDescent="0.25">
      <c r="A255" s="63" t="s">
        <v>270</v>
      </c>
      <c r="B255" s="58" t="s">
        <v>225</v>
      </c>
      <c r="C255" s="51">
        <v>226</v>
      </c>
      <c r="D255" s="33">
        <f t="shared" si="74"/>
        <v>0</v>
      </c>
      <c r="E255" s="33">
        <f t="shared" si="75"/>
        <v>0</v>
      </c>
      <c r="F255" s="91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33"/>
      <c r="T255" s="85"/>
    </row>
    <row r="256" spans="1:20" s="6" customFormat="1" ht="16.5" x14ac:dyDescent="0.25">
      <c r="A256" s="63" t="s">
        <v>271</v>
      </c>
      <c r="B256" s="28" t="s">
        <v>68</v>
      </c>
      <c r="C256" s="51">
        <v>290</v>
      </c>
      <c r="D256" s="33">
        <f t="shared" si="74"/>
        <v>466000</v>
      </c>
      <c r="E256" s="33">
        <f t="shared" si="75"/>
        <v>32881.56</v>
      </c>
      <c r="F256" s="91">
        <f t="shared" si="77"/>
        <v>7.0561287553648055</v>
      </c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33">
        <v>466000</v>
      </c>
      <c r="T256" s="85">
        <v>32881.56</v>
      </c>
    </row>
    <row r="257" spans="1:20" s="6" customFormat="1" ht="16.5" x14ac:dyDescent="0.25">
      <c r="A257" s="63" t="s">
        <v>272</v>
      </c>
      <c r="B257" s="58" t="s">
        <v>72</v>
      </c>
      <c r="C257" s="51">
        <v>310</v>
      </c>
      <c r="D257" s="33">
        <f t="shared" si="74"/>
        <v>2121325.81</v>
      </c>
      <c r="E257" s="33">
        <f t="shared" si="75"/>
        <v>842709.33</v>
      </c>
      <c r="F257" s="91">
        <f t="shared" si="77"/>
        <v>39.725596418402127</v>
      </c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33">
        <v>2121325.81</v>
      </c>
      <c r="T257" s="85">
        <v>842709.33</v>
      </c>
    </row>
    <row r="258" spans="1:20" s="6" customFormat="1" ht="16.5" x14ac:dyDescent="0.25">
      <c r="A258" s="63" t="s">
        <v>273</v>
      </c>
      <c r="B258" s="58" t="s">
        <v>243</v>
      </c>
      <c r="C258" s="51">
        <v>340</v>
      </c>
      <c r="D258" s="33">
        <f t="shared" si="74"/>
        <v>3443134.08</v>
      </c>
      <c r="E258" s="33">
        <f t="shared" si="75"/>
        <v>1073236.78</v>
      </c>
      <c r="F258" s="91">
        <f t="shared" si="77"/>
        <v>31.170345245457305</v>
      </c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33">
        <v>3443134.08</v>
      </c>
      <c r="T258" s="85">
        <v>1073236.78</v>
      </c>
    </row>
    <row r="259" spans="1:20" s="18" customFormat="1" ht="20.25" customHeight="1" x14ac:dyDescent="0.25">
      <c r="A259" s="168" t="s">
        <v>304</v>
      </c>
      <c r="B259" s="168"/>
      <c r="C259" s="49"/>
      <c r="D259" s="34">
        <f>SUM(D15+D31-D47)</f>
        <v>5.9604644775390625E-8</v>
      </c>
      <c r="E259" s="34">
        <f>SUM(E15+E31-E47)</f>
        <v>2579732.7400000095</v>
      </c>
      <c r="F259" s="34"/>
      <c r="G259" s="34">
        <f t="shared" ref="G259" si="80">SUM(G15+G31-G47)</f>
        <v>5.9604644775390625E-8</v>
      </c>
      <c r="H259" s="34">
        <f t="shared" ref="H259:T259" si="81">SUM(H15+H31-H47)</f>
        <v>411246.71999999881</v>
      </c>
      <c r="I259" s="34">
        <f t="shared" si="81"/>
        <v>0</v>
      </c>
      <c r="J259" s="34">
        <f t="shared" si="81"/>
        <v>0</v>
      </c>
      <c r="K259" s="34">
        <f t="shared" si="81"/>
        <v>0</v>
      </c>
      <c r="L259" s="34">
        <f t="shared" si="81"/>
        <v>0</v>
      </c>
      <c r="M259" s="34">
        <f t="shared" si="81"/>
        <v>0</v>
      </c>
      <c r="N259" s="34">
        <f t="shared" si="81"/>
        <v>0</v>
      </c>
      <c r="O259" s="34">
        <f t="shared" si="81"/>
        <v>0</v>
      </c>
      <c r="P259" s="34">
        <f t="shared" si="81"/>
        <v>0</v>
      </c>
      <c r="Q259" s="34">
        <f t="shared" si="81"/>
        <v>0</v>
      </c>
      <c r="R259" s="34">
        <f t="shared" si="81"/>
        <v>0</v>
      </c>
      <c r="S259" s="34">
        <f t="shared" si="81"/>
        <v>7.4505805969238281E-9</v>
      </c>
      <c r="T259" s="34">
        <f t="shared" si="81"/>
        <v>2168486.0200000014</v>
      </c>
    </row>
    <row r="260" spans="1:20" s="18" customFormat="1" ht="17.25" x14ac:dyDescent="0.25">
      <c r="A260" s="47" t="s">
        <v>17</v>
      </c>
      <c r="B260" s="48" t="s">
        <v>18</v>
      </c>
      <c r="C260" s="49"/>
      <c r="D260" s="34">
        <f t="shared" ref="D260:E260" si="82">SUM(D261:D263)</f>
        <v>0</v>
      </c>
      <c r="E260" s="34">
        <f t="shared" si="82"/>
        <v>309184.51999999583</v>
      </c>
      <c r="F260" s="34"/>
      <c r="G260" s="34">
        <f>SUM(G261:G263)</f>
        <v>0</v>
      </c>
      <c r="H260" s="34">
        <f t="shared" ref="H260:T260" si="83">SUM(H261:H263)</f>
        <v>309184.51999999583</v>
      </c>
      <c r="I260" s="34">
        <f t="shared" si="83"/>
        <v>0</v>
      </c>
      <c r="J260" s="34">
        <f t="shared" si="83"/>
        <v>0</v>
      </c>
      <c r="K260" s="34">
        <f t="shared" si="83"/>
        <v>0</v>
      </c>
      <c r="L260" s="34">
        <f t="shared" si="83"/>
        <v>0</v>
      </c>
      <c r="M260" s="34">
        <f t="shared" si="83"/>
        <v>0</v>
      </c>
      <c r="N260" s="34">
        <f t="shared" si="83"/>
        <v>0</v>
      </c>
      <c r="O260" s="34">
        <f t="shared" si="83"/>
        <v>0</v>
      </c>
      <c r="P260" s="34">
        <f t="shared" si="83"/>
        <v>0</v>
      </c>
      <c r="Q260" s="34">
        <f t="shared" si="83"/>
        <v>0</v>
      </c>
      <c r="R260" s="34">
        <f t="shared" si="83"/>
        <v>0</v>
      </c>
      <c r="S260" s="34">
        <f t="shared" si="83"/>
        <v>0</v>
      </c>
      <c r="T260" s="34">
        <f t="shared" si="83"/>
        <v>0</v>
      </c>
    </row>
    <row r="261" spans="1:20" s="6" customFormat="1" ht="16.5" x14ac:dyDescent="0.25">
      <c r="A261" s="50" t="s">
        <v>19</v>
      </c>
      <c r="B261" s="28" t="s">
        <v>274</v>
      </c>
      <c r="C261" s="51"/>
      <c r="D261" s="33">
        <f>D17+D33-D49</f>
        <v>0</v>
      </c>
      <c r="E261" s="33">
        <f>E17+E33-E49</f>
        <v>160104.51999999583</v>
      </c>
      <c r="F261" s="33"/>
      <c r="G261" s="33">
        <f>G17+G33-G49</f>
        <v>0</v>
      </c>
      <c r="H261" s="33">
        <f t="shared" ref="H261:T261" si="84">H17+H33-H49</f>
        <v>160104.51999999583</v>
      </c>
      <c r="I261" s="33">
        <f t="shared" si="84"/>
        <v>0</v>
      </c>
      <c r="J261" s="33">
        <f t="shared" si="84"/>
        <v>0</v>
      </c>
      <c r="K261" s="33">
        <f t="shared" si="84"/>
        <v>0</v>
      </c>
      <c r="L261" s="33">
        <f t="shared" si="84"/>
        <v>0</v>
      </c>
      <c r="M261" s="33">
        <f t="shared" si="84"/>
        <v>0</v>
      </c>
      <c r="N261" s="33">
        <f t="shared" si="84"/>
        <v>0</v>
      </c>
      <c r="O261" s="33">
        <f t="shared" si="84"/>
        <v>0</v>
      </c>
      <c r="P261" s="33">
        <f t="shared" si="84"/>
        <v>0</v>
      </c>
      <c r="Q261" s="33">
        <f t="shared" si="84"/>
        <v>0</v>
      </c>
      <c r="R261" s="33">
        <f t="shared" si="84"/>
        <v>0</v>
      </c>
      <c r="S261" s="33">
        <f t="shared" si="84"/>
        <v>0</v>
      </c>
      <c r="T261" s="33">
        <f t="shared" si="84"/>
        <v>0</v>
      </c>
    </row>
    <row r="262" spans="1:20" s="6" customFormat="1" ht="16.5" x14ac:dyDescent="0.25">
      <c r="A262" s="50" t="s">
        <v>21</v>
      </c>
      <c r="B262" s="28" t="s">
        <v>22</v>
      </c>
      <c r="C262" s="51"/>
      <c r="D262" s="33">
        <f>D19+D34-D78</f>
        <v>0</v>
      </c>
      <c r="E262" s="33">
        <f>E19+E34-E78</f>
        <v>149080</v>
      </c>
      <c r="F262" s="33"/>
      <c r="G262" s="33">
        <f>G19+G34-G78</f>
        <v>0</v>
      </c>
      <c r="H262" s="33">
        <f t="shared" ref="H262:T262" si="85">H19+H34-H78</f>
        <v>149080</v>
      </c>
      <c r="I262" s="33">
        <f t="shared" si="85"/>
        <v>0</v>
      </c>
      <c r="J262" s="33">
        <f t="shared" si="85"/>
        <v>0</v>
      </c>
      <c r="K262" s="33">
        <f t="shared" si="85"/>
        <v>0</v>
      </c>
      <c r="L262" s="33">
        <f t="shared" si="85"/>
        <v>0</v>
      </c>
      <c r="M262" s="33">
        <f t="shared" si="85"/>
        <v>0</v>
      </c>
      <c r="N262" s="33">
        <f t="shared" si="85"/>
        <v>0</v>
      </c>
      <c r="O262" s="33">
        <f t="shared" si="85"/>
        <v>0</v>
      </c>
      <c r="P262" s="33">
        <f t="shared" si="85"/>
        <v>0</v>
      </c>
      <c r="Q262" s="33">
        <f t="shared" si="85"/>
        <v>0</v>
      </c>
      <c r="R262" s="33">
        <f t="shared" si="85"/>
        <v>0</v>
      </c>
      <c r="S262" s="33">
        <f t="shared" si="85"/>
        <v>0</v>
      </c>
      <c r="T262" s="33">
        <f t="shared" si="85"/>
        <v>0</v>
      </c>
    </row>
    <row r="263" spans="1:20" s="6" customFormat="1" ht="16.5" x14ac:dyDescent="0.25">
      <c r="A263" s="52" t="s">
        <v>23</v>
      </c>
      <c r="B263" s="28" t="s">
        <v>24</v>
      </c>
      <c r="C263" s="51"/>
      <c r="D263" s="33">
        <f>SUM(D19+D35-D82)</f>
        <v>0</v>
      </c>
      <c r="E263" s="33">
        <f>SUM(E19+E35-E82)</f>
        <v>0</v>
      </c>
      <c r="F263" s="33"/>
      <c r="G263" s="33">
        <f t="shared" ref="G263" si="86">SUM(G19+G35-G82)</f>
        <v>0</v>
      </c>
      <c r="H263" s="33">
        <f t="shared" ref="H263:T263" si="87">SUM(H19+H35-H82)</f>
        <v>0</v>
      </c>
      <c r="I263" s="33">
        <f t="shared" si="87"/>
        <v>0</v>
      </c>
      <c r="J263" s="33">
        <f t="shared" si="87"/>
        <v>0</v>
      </c>
      <c r="K263" s="33">
        <f t="shared" si="87"/>
        <v>0</v>
      </c>
      <c r="L263" s="33">
        <f t="shared" si="87"/>
        <v>0</v>
      </c>
      <c r="M263" s="33">
        <f t="shared" si="87"/>
        <v>0</v>
      </c>
      <c r="N263" s="33">
        <f t="shared" si="87"/>
        <v>0</v>
      </c>
      <c r="O263" s="33">
        <f t="shared" si="87"/>
        <v>0</v>
      </c>
      <c r="P263" s="33">
        <f t="shared" si="87"/>
        <v>0</v>
      </c>
      <c r="Q263" s="33">
        <f t="shared" si="87"/>
        <v>0</v>
      </c>
      <c r="R263" s="33">
        <f t="shared" si="87"/>
        <v>0</v>
      </c>
      <c r="S263" s="33">
        <f t="shared" si="87"/>
        <v>0</v>
      </c>
      <c r="T263" s="33">
        <f t="shared" si="87"/>
        <v>0</v>
      </c>
    </row>
    <row r="264" spans="1:20" s="18" customFormat="1" ht="17.25" x14ac:dyDescent="0.25">
      <c r="A264" s="53" t="s">
        <v>25</v>
      </c>
      <c r="B264" s="48" t="s">
        <v>26</v>
      </c>
      <c r="C264" s="49"/>
      <c r="D264" s="34">
        <f>D20+D36-D84</f>
        <v>0</v>
      </c>
      <c r="E264" s="34">
        <f>E20+E36-E84</f>
        <v>102062.19999999995</v>
      </c>
      <c r="F264" s="34"/>
      <c r="G264" s="34">
        <f t="shared" ref="G264:G265" si="88">G20+G36-G84</f>
        <v>0</v>
      </c>
      <c r="H264" s="34">
        <f t="shared" ref="H264:T264" si="89">H20+H36-H84</f>
        <v>102062.19999999995</v>
      </c>
      <c r="I264" s="34">
        <f t="shared" si="89"/>
        <v>0</v>
      </c>
      <c r="J264" s="34">
        <f t="shared" si="89"/>
        <v>0</v>
      </c>
      <c r="K264" s="34">
        <f t="shared" si="89"/>
        <v>0</v>
      </c>
      <c r="L264" s="34">
        <f t="shared" si="89"/>
        <v>0</v>
      </c>
      <c r="M264" s="34">
        <f t="shared" si="89"/>
        <v>0</v>
      </c>
      <c r="N264" s="34">
        <f t="shared" si="89"/>
        <v>0</v>
      </c>
      <c r="O264" s="34">
        <f t="shared" si="89"/>
        <v>0</v>
      </c>
      <c r="P264" s="34">
        <f t="shared" si="89"/>
        <v>0</v>
      </c>
      <c r="Q264" s="34">
        <f t="shared" si="89"/>
        <v>0</v>
      </c>
      <c r="R264" s="34">
        <f t="shared" si="89"/>
        <v>0</v>
      </c>
      <c r="S264" s="34">
        <f t="shared" si="89"/>
        <v>0</v>
      </c>
      <c r="T264" s="34">
        <f t="shared" si="89"/>
        <v>0</v>
      </c>
    </row>
    <row r="265" spans="1:20" s="6" customFormat="1" ht="33" x14ac:dyDescent="0.25">
      <c r="A265" s="73" t="s">
        <v>27</v>
      </c>
      <c r="B265" s="58" t="s">
        <v>83</v>
      </c>
      <c r="C265" s="51"/>
      <c r="D265" s="33">
        <f>D21+D37-D85</f>
        <v>0</v>
      </c>
      <c r="E265" s="33">
        <f>E21+E37-E85</f>
        <v>45882.199999999953</v>
      </c>
      <c r="F265" s="33"/>
      <c r="G265" s="33">
        <f t="shared" si="88"/>
        <v>0</v>
      </c>
      <c r="H265" s="33">
        <f t="shared" ref="H265:T265" si="90">H21+H37-H85</f>
        <v>45882.199999999953</v>
      </c>
      <c r="I265" s="33">
        <f t="shared" si="90"/>
        <v>0</v>
      </c>
      <c r="J265" s="33">
        <f t="shared" si="90"/>
        <v>0</v>
      </c>
      <c r="K265" s="33">
        <f t="shared" si="90"/>
        <v>0</v>
      </c>
      <c r="L265" s="33">
        <f t="shared" si="90"/>
        <v>0</v>
      </c>
      <c r="M265" s="33">
        <f t="shared" si="90"/>
        <v>0</v>
      </c>
      <c r="N265" s="33">
        <f t="shared" si="90"/>
        <v>0</v>
      </c>
      <c r="O265" s="33">
        <f t="shared" si="90"/>
        <v>0</v>
      </c>
      <c r="P265" s="33">
        <f t="shared" si="90"/>
        <v>0</v>
      </c>
      <c r="Q265" s="33">
        <f t="shared" si="90"/>
        <v>0</v>
      </c>
      <c r="R265" s="33">
        <f t="shared" si="90"/>
        <v>0</v>
      </c>
      <c r="S265" s="33">
        <f t="shared" si="90"/>
        <v>0</v>
      </c>
      <c r="T265" s="33">
        <f t="shared" si="90"/>
        <v>0</v>
      </c>
    </row>
    <row r="266" spans="1:20" s="6" customFormat="1" ht="33" x14ac:dyDescent="0.25">
      <c r="A266" s="73" t="s">
        <v>29</v>
      </c>
      <c r="B266" s="58" t="s">
        <v>44</v>
      </c>
      <c r="C266" s="51"/>
      <c r="D266" s="33">
        <f>D22+D38-D165</f>
        <v>0</v>
      </c>
      <c r="E266" s="33">
        <f>E22+E38-E165</f>
        <v>0</v>
      </c>
      <c r="F266" s="33"/>
      <c r="G266" s="33">
        <f t="shared" ref="G266" si="91">G22+G38-G165</f>
        <v>0</v>
      </c>
      <c r="H266" s="33">
        <f t="shared" ref="H266:T266" si="92">H22+H38-H165</f>
        <v>0</v>
      </c>
      <c r="I266" s="33">
        <f t="shared" si="92"/>
        <v>0</v>
      </c>
      <c r="J266" s="33">
        <f t="shared" si="92"/>
        <v>0</v>
      </c>
      <c r="K266" s="33">
        <f t="shared" si="92"/>
        <v>0</v>
      </c>
      <c r="L266" s="33">
        <f t="shared" si="92"/>
        <v>0</v>
      </c>
      <c r="M266" s="33">
        <f t="shared" si="92"/>
        <v>0</v>
      </c>
      <c r="N266" s="33">
        <f t="shared" si="92"/>
        <v>0</v>
      </c>
      <c r="O266" s="33">
        <f t="shared" si="92"/>
        <v>0</v>
      </c>
      <c r="P266" s="33">
        <f t="shared" si="92"/>
        <v>0</v>
      </c>
      <c r="Q266" s="33">
        <f t="shared" si="92"/>
        <v>0</v>
      </c>
      <c r="R266" s="33">
        <f t="shared" si="92"/>
        <v>0</v>
      </c>
      <c r="S266" s="33">
        <f t="shared" si="92"/>
        <v>0</v>
      </c>
      <c r="T266" s="33">
        <f t="shared" si="92"/>
        <v>0</v>
      </c>
    </row>
    <row r="267" spans="1:20" s="6" customFormat="1" ht="49.5" x14ac:dyDescent="0.25">
      <c r="A267" s="73" t="s">
        <v>31</v>
      </c>
      <c r="B267" s="28" t="s">
        <v>189</v>
      </c>
      <c r="C267" s="51"/>
      <c r="D267" s="33">
        <f>D23+D39-D168</f>
        <v>0</v>
      </c>
      <c r="E267" s="33">
        <f>E23+E39-E168</f>
        <v>0</v>
      </c>
      <c r="F267" s="33"/>
      <c r="G267" s="33">
        <f t="shared" ref="G267" si="93">G23+G39-G168</f>
        <v>0</v>
      </c>
      <c r="H267" s="33">
        <f t="shared" ref="H267:T267" si="94">H23+H39-H168</f>
        <v>0</v>
      </c>
      <c r="I267" s="33">
        <f t="shared" si="94"/>
        <v>0</v>
      </c>
      <c r="J267" s="33">
        <f t="shared" si="94"/>
        <v>0</v>
      </c>
      <c r="K267" s="33">
        <f t="shared" si="94"/>
        <v>0</v>
      </c>
      <c r="L267" s="33">
        <f t="shared" si="94"/>
        <v>0</v>
      </c>
      <c r="M267" s="33">
        <f t="shared" si="94"/>
        <v>0</v>
      </c>
      <c r="N267" s="33">
        <f t="shared" si="94"/>
        <v>0</v>
      </c>
      <c r="O267" s="33">
        <f t="shared" si="94"/>
        <v>0</v>
      </c>
      <c r="P267" s="33">
        <f t="shared" si="94"/>
        <v>0</v>
      </c>
      <c r="Q267" s="33">
        <f t="shared" si="94"/>
        <v>0</v>
      </c>
      <c r="R267" s="33">
        <f t="shared" si="94"/>
        <v>0</v>
      </c>
      <c r="S267" s="33">
        <f t="shared" si="94"/>
        <v>0</v>
      </c>
      <c r="T267" s="33">
        <f t="shared" si="94"/>
        <v>0</v>
      </c>
    </row>
    <row r="268" spans="1:20" s="6" customFormat="1" ht="33" x14ac:dyDescent="0.25">
      <c r="A268" s="73" t="s">
        <v>33</v>
      </c>
      <c r="B268" s="58" t="s">
        <v>34</v>
      </c>
      <c r="C268" s="51"/>
      <c r="D268" s="33">
        <f>D24+D40-D174</f>
        <v>0</v>
      </c>
      <c r="E268" s="33">
        <f>E24+E40-E174</f>
        <v>0</v>
      </c>
      <c r="F268" s="33"/>
      <c r="G268" s="33">
        <f t="shared" ref="G268" si="95">G24+G40-G174</f>
        <v>0</v>
      </c>
      <c r="H268" s="33">
        <f t="shared" ref="H268:T268" si="96">H24+H40-H174</f>
        <v>0</v>
      </c>
      <c r="I268" s="33">
        <f t="shared" si="96"/>
        <v>0</v>
      </c>
      <c r="J268" s="33">
        <f t="shared" si="96"/>
        <v>0</v>
      </c>
      <c r="K268" s="33">
        <f t="shared" si="96"/>
        <v>0</v>
      </c>
      <c r="L268" s="33">
        <f t="shared" si="96"/>
        <v>0</v>
      </c>
      <c r="M268" s="33">
        <f t="shared" si="96"/>
        <v>0</v>
      </c>
      <c r="N268" s="33">
        <f t="shared" si="96"/>
        <v>0</v>
      </c>
      <c r="O268" s="33">
        <f t="shared" si="96"/>
        <v>0</v>
      </c>
      <c r="P268" s="33">
        <f t="shared" si="96"/>
        <v>0</v>
      </c>
      <c r="Q268" s="33">
        <f t="shared" si="96"/>
        <v>0</v>
      </c>
      <c r="R268" s="33">
        <f t="shared" si="96"/>
        <v>0</v>
      </c>
      <c r="S268" s="33">
        <f t="shared" si="96"/>
        <v>0</v>
      </c>
      <c r="T268" s="33">
        <f t="shared" si="96"/>
        <v>0</v>
      </c>
    </row>
    <row r="269" spans="1:20" s="6" customFormat="1" ht="33" x14ac:dyDescent="0.25">
      <c r="A269" s="73" t="s">
        <v>35</v>
      </c>
      <c r="B269" s="58" t="s">
        <v>36</v>
      </c>
      <c r="C269" s="51"/>
      <c r="D269" s="33">
        <f>D25+D41-D180</f>
        <v>0</v>
      </c>
      <c r="E269" s="33">
        <f>E25+E41-E180</f>
        <v>56180</v>
      </c>
      <c r="F269" s="33"/>
      <c r="G269" s="33">
        <f t="shared" ref="G269" si="97">G25+G41-G180</f>
        <v>0</v>
      </c>
      <c r="H269" s="33">
        <f t="shared" ref="H269:T269" si="98">H25+H41-H180</f>
        <v>56180</v>
      </c>
      <c r="I269" s="33">
        <f t="shared" si="98"/>
        <v>0</v>
      </c>
      <c r="J269" s="33">
        <f t="shared" si="98"/>
        <v>0</v>
      </c>
      <c r="K269" s="33">
        <f t="shared" si="98"/>
        <v>0</v>
      </c>
      <c r="L269" s="33">
        <f t="shared" si="98"/>
        <v>0</v>
      </c>
      <c r="M269" s="33">
        <f t="shared" si="98"/>
        <v>0</v>
      </c>
      <c r="N269" s="33">
        <f t="shared" si="98"/>
        <v>0</v>
      </c>
      <c r="O269" s="33">
        <f t="shared" si="98"/>
        <v>0</v>
      </c>
      <c r="P269" s="33">
        <f t="shared" si="98"/>
        <v>0</v>
      </c>
      <c r="Q269" s="33">
        <f t="shared" si="98"/>
        <v>0</v>
      </c>
      <c r="R269" s="33">
        <f t="shared" si="98"/>
        <v>0</v>
      </c>
      <c r="S269" s="33">
        <f t="shared" si="98"/>
        <v>0</v>
      </c>
      <c r="T269" s="33">
        <f t="shared" si="98"/>
        <v>0</v>
      </c>
    </row>
    <row r="270" spans="1:20" s="18" customFormat="1" ht="17.25" x14ac:dyDescent="0.25">
      <c r="A270" s="47">
        <v>3</v>
      </c>
      <c r="B270" s="62" t="s">
        <v>37</v>
      </c>
      <c r="C270" s="49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</row>
    <row r="271" spans="1:20" s="18" customFormat="1" ht="17.25" x14ac:dyDescent="0.25">
      <c r="A271" s="47">
        <v>4</v>
      </c>
      <c r="B271" s="62" t="s">
        <v>38</v>
      </c>
      <c r="C271" s="49"/>
      <c r="D271" s="34">
        <f>D27+D43-D187</f>
        <v>0</v>
      </c>
      <c r="E271" s="34">
        <f>E27+E43-E187</f>
        <v>894134.98000000045</v>
      </c>
      <c r="F271" s="34"/>
      <c r="G271" s="34">
        <f t="shared" ref="G271" si="99">G27+G43-G187</f>
        <v>0</v>
      </c>
      <c r="H271" s="34">
        <f t="shared" ref="H271:T271" si="100">H27+H43-H187</f>
        <v>0</v>
      </c>
      <c r="I271" s="34">
        <f t="shared" si="100"/>
        <v>0</v>
      </c>
      <c r="J271" s="34">
        <f t="shared" si="100"/>
        <v>0</v>
      </c>
      <c r="K271" s="34">
        <f t="shared" si="100"/>
        <v>0</v>
      </c>
      <c r="L271" s="34">
        <f t="shared" si="100"/>
        <v>0</v>
      </c>
      <c r="M271" s="34">
        <f t="shared" si="100"/>
        <v>0</v>
      </c>
      <c r="N271" s="34">
        <f t="shared" si="100"/>
        <v>0</v>
      </c>
      <c r="O271" s="34">
        <f t="shared" si="100"/>
        <v>0</v>
      </c>
      <c r="P271" s="34">
        <f t="shared" si="100"/>
        <v>0</v>
      </c>
      <c r="Q271" s="34">
        <f t="shared" si="100"/>
        <v>0</v>
      </c>
      <c r="R271" s="34">
        <f t="shared" si="100"/>
        <v>0</v>
      </c>
      <c r="S271" s="34">
        <f t="shared" si="100"/>
        <v>0</v>
      </c>
      <c r="T271" s="34">
        <f t="shared" si="100"/>
        <v>894134.98000000045</v>
      </c>
    </row>
    <row r="272" spans="1:20" s="18" customFormat="1" ht="17.25" x14ac:dyDescent="0.25">
      <c r="A272" s="47">
        <v>5</v>
      </c>
      <c r="B272" s="62" t="s">
        <v>39</v>
      </c>
      <c r="C272" s="49"/>
      <c r="D272" s="34">
        <f>D28+D44-D206</f>
        <v>0</v>
      </c>
      <c r="E272" s="34">
        <f>E28+E44-E206</f>
        <v>10654.580000000016</v>
      </c>
      <c r="F272" s="34"/>
      <c r="G272" s="34">
        <f t="shared" ref="G272" si="101">G28+G44-G206</f>
        <v>0</v>
      </c>
      <c r="H272" s="34">
        <f t="shared" ref="H272:T272" si="102">H28+H44-H206</f>
        <v>0</v>
      </c>
      <c r="I272" s="34">
        <f t="shared" si="102"/>
        <v>0</v>
      </c>
      <c r="J272" s="34">
        <f t="shared" si="102"/>
        <v>0</v>
      </c>
      <c r="K272" s="34">
        <f t="shared" si="102"/>
        <v>0</v>
      </c>
      <c r="L272" s="34">
        <f t="shared" si="102"/>
        <v>0</v>
      </c>
      <c r="M272" s="34">
        <f t="shared" si="102"/>
        <v>0</v>
      </c>
      <c r="N272" s="34">
        <f t="shared" si="102"/>
        <v>0</v>
      </c>
      <c r="O272" s="34">
        <f t="shared" si="102"/>
        <v>0</v>
      </c>
      <c r="P272" s="34">
        <f t="shared" si="102"/>
        <v>0</v>
      </c>
      <c r="Q272" s="34">
        <f t="shared" si="102"/>
        <v>0</v>
      </c>
      <c r="R272" s="34">
        <f t="shared" si="102"/>
        <v>0</v>
      </c>
      <c r="S272" s="34">
        <f t="shared" si="102"/>
        <v>0</v>
      </c>
      <c r="T272" s="34">
        <f t="shared" si="102"/>
        <v>10654.580000000016</v>
      </c>
    </row>
    <row r="273" spans="1:20" s="18" customFormat="1" ht="17.25" x14ac:dyDescent="0.25">
      <c r="A273" s="47">
        <v>6</v>
      </c>
      <c r="B273" s="62" t="s">
        <v>40</v>
      </c>
      <c r="C273" s="49"/>
      <c r="D273" s="34">
        <f>D29+D45-D223</f>
        <v>0</v>
      </c>
      <c r="E273" s="34">
        <f>E29+E45-E223</f>
        <v>0</v>
      </c>
      <c r="F273" s="34"/>
      <c r="G273" s="34">
        <f t="shared" ref="G273" si="103">G29+G45-G223</f>
        <v>0</v>
      </c>
      <c r="H273" s="34">
        <f t="shared" ref="H273:T273" si="104">H29+H45-H223</f>
        <v>0</v>
      </c>
      <c r="I273" s="34">
        <f t="shared" si="104"/>
        <v>0</v>
      </c>
      <c r="J273" s="34">
        <f t="shared" si="104"/>
        <v>0</v>
      </c>
      <c r="K273" s="34">
        <f t="shared" si="104"/>
        <v>0</v>
      </c>
      <c r="L273" s="34">
        <f t="shared" si="104"/>
        <v>0</v>
      </c>
      <c r="M273" s="34">
        <f t="shared" si="104"/>
        <v>0</v>
      </c>
      <c r="N273" s="34">
        <f t="shared" si="104"/>
        <v>0</v>
      </c>
      <c r="O273" s="34">
        <f t="shared" si="104"/>
        <v>0</v>
      </c>
      <c r="P273" s="34">
        <f t="shared" si="104"/>
        <v>0</v>
      </c>
      <c r="Q273" s="34">
        <f t="shared" si="104"/>
        <v>0</v>
      </c>
      <c r="R273" s="34">
        <f t="shared" si="104"/>
        <v>0</v>
      </c>
      <c r="S273" s="34">
        <f t="shared" si="104"/>
        <v>0</v>
      </c>
      <c r="T273" s="34">
        <f t="shared" si="104"/>
        <v>0</v>
      </c>
    </row>
    <row r="274" spans="1:20" s="18" customFormat="1" ht="17.25" x14ac:dyDescent="0.25">
      <c r="A274" s="47">
        <v>7</v>
      </c>
      <c r="B274" s="62" t="s">
        <v>41</v>
      </c>
      <c r="C274" s="49"/>
      <c r="D274" s="34">
        <f>D30+D46-D241</f>
        <v>0</v>
      </c>
      <c r="E274" s="34">
        <f>E30+E46-E241</f>
        <v>1263696.459999999</v>
      </c>
      <c r="F274" s="34"/>
      <c r="G274" s="34">
        <f t="shared" ref="G274" si="105">G30+G46-G241</f>
        <v>0</v>
      </c>
      <c r="H274" s="34">
        <f t="shared" ref="H274:T274" si="106">H30+H46-H241</f>
        <v>0</v>
      </c>
      <c r="I274" s="34">
        <f t="shared" si="106"/>
        <v>0</v>
      </c>
      <c r="J274" s="34">
        <f t="shared" si="106"/>
        <v>0</v>
      </c>
      <c r="K274" s="34">
        <f t="shared" si="106"/>
        <v>0</v>
      </c>
      <c r="L274" s="34">
        <f t="shared" si="106"/>
        <v>0</v>
      </c>
      <c r="M274" s="34">
        <f t="shared" si="106"/>
        <v>0</v>
      </c>
      <c r="N274" s="34">
        <f t="shared" si="106"/>
        <v>0</v>
      </c>
      <c r="O274" s="34">
        <f t="shared" si="106"/>
        <v>0</v>
      </c>
      <c r="P274" s="34">
        <f t="shared" si="106"/>
        <v>0</v>
      </c>
      <c r="Q274" s="34">
        <f t="shared" si="106"/>
        <v>0</v>
      </c>
      <c r="R274" s="34">
        <f t="shared" si="106"/>
        <v>0</v>
      </c>
      <c r="S274" s="34">
        <f t="shared" si="106"/>
        <v>0</v>
      </c>
      <c r="T274" s="34">
        <f t="shared" si="106"/>
        <v>1263696.459999999</v>
      </c>
    </row>
  </sheetData>
  <mergeCells count="24">
    <mergeCell ref="M1:U1"/>
    <mergeCell ref="M2:U2"/>
    <mergeCell ref="M3:U3"/>
    <mergeCell ref="A259:B259"/>
    <mergeCell ref="A11:A14"/>
    <mergeCell ref="B11:B14"/>
    <mergeCell ref="C11:C14"/>
    <mergeCell ref="D11:E13"/>
    <mergeCell ref="Q13:R13"/>
    <mergeCell ref="A7:T7"/>
    <mergeCell ref="A15:B15"/>
    <mergeCell ref="A31:B31"/>
    <mergeCell ref="A47:B47"/>
    <mergeCell ref="G11:T11"/>
    <mergeCell ref="G12:H13"/>
    <mergeCell ref="A8:T8"/>
    <mergeCell ref="A9:S9"/>
    <mergeCell ref="I12:R12"/>
    <mergeCell ref="S12:T13"/>
    <mergeCell ref="I13:J13"/>
    <mergeCell ref="K13:L13"/>
    <mergeCell ref="M13:N13"/>
    <mergeCell ref="O13:P13"/>
    <mergeCell ref="F11:F13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Q274"/>
  <sheetViews>
    <sheetView view="pageBreakPreview" topLeftCell="A6" zoomScale="70" zoomScaleNormal="80" zoomScaleSheetLayoutView="70" workbookViewId="0">
      <pane xSplit="3" ySplit="9" topLeftCell="D223" activePane="bottomRight" state="frozen"/>
      <selection activeCell="A6" sqref="A6"/>
      <selection pane="topRight" activeCell="D6" sqref="D6"/>
      <selection pane="bottomLeft" activeCell="A15" sqref="A15"/>
      <selection pane="bottomRight" activeCell="H262" sqref="H262"/>
    </sheetView>
  </sheetViews>
  <sheetFormatPr defaultRowHeight="15" x14ac:dyDescent="0.25"/>
  <cols>
    <col min="1" max="1" width="9" customWidth="1"/>
    <col min="2" max="2" width="76" customWidth="1"/>
    <col min="3" max="3" width="9.85546875" customWidth="1"/>
    <col min="4" max="4" width="19.42578125" customWidth="1"/>
    <col min="5" max="6" width="20.28515625" customWidth="1"/>
    <col min="7" max="7" width="16.42578125" bestFit="1" customWidth="1"/>
    <col min="8" max="8" width="18.28515625" customWidth="1"/>
    <col min="9" max="9" width="9.85546875" hidden="1" customWidth="1"/>
    <col min="10" max="10" width="11.5703125" hidden="1" customWidth="1"/>
    <col min="11" max="11" width="9.7109375" hidden="1" customWidth="1"/>
    <col min="12" max="12" width="12.28515625" hidden="1" customWidth="1"/>
    <col min="13" max="13" width="6.42578125" hidden="1" customWidth="1"/>
    <col min="14" max="14" width="12.28515625" hidden="1" customWidth="1"/>
    <col min="15" max="15" width="6.42578125" hidden="1" customWidth="1"/>
    <col min="16" max="16" width="12.28515625" hidden="1" customWidth="1"/>
    <col min="17" max="17" width="6.42578125" hidden="1" customWidth="1"/>
    <col min="18" max="18" width="12.28515625" hidden="1" customWidth="1"/>
    <col min="19" max="19" width="18" customWidth="1"/>
    <col min="20" max="20" width="18.5703125" customWidth="1"/>
  </cols>
  <sheetData>
    <row r="1" spans="1:28" s="6" customFormat="1" ht="33" hidden="1" customHeight="1" x14ac:dyDescent="0.25">
      <c r="A1" s="1"/>
      <c r="B1" s="2"/>
      <c r="C1" s="3"/>
      <c r="D1" s="3"/>
      <c r="E1" s="3"/>
      <c r="F1" s="3"/>
      <c r="G1" s="4"/>
      <c r="H1" s="4"/>
      <c r="I1" s="5"/>
      <c r="J1" s="5"/>
      <c r="K1" s="170" t="s">
        <v>0</v>
      </c>
      <c r="L1" s="170"/>
      <c r="M1" s="170"/>
      <c r="N1" s="170"/>
      <c r="O1" s="170"/>
      <c r="P1" s="170"/>
      <c r="Q1" s="170"/>
      <c r="R1" s="170"/>
      <c r="S1" s="170"/>
      <c r="T1" s="41"/>
    </row>
    <row r="2" spans="1:28" s="6" customFormat="1" ht="33" hidden="1" customHeight="1" x14ac:dyDescent="0.25">
      <c r="A2" s="1"/>
      <c r="B2" s="2"/>
      <c r="C2" s="3"/>
      <c r="D2" s="3"/>
      <c r="E2" s="3"/>
      <c r="F2" s="3"/>
      <c r="G2" s="3"/>
      <c r="H2" s="3"/>
      <c r="I2" s="5"/>
      <c r="J2" s="5"/>
      <c r="K2" s="170" t="s">
        <v>1</v>
      </c>
      <c r="L2" s="170"/>
      <c r="M2" s="170"/>
      <c r="N2" s="170"/>
      <c r="O2" s="170"/>
      <c r="P2" s="170"/>
      <c r="Q2" s="170"/>
      <c r="R2" s="170"/>
      <c r="S2" s="170"/>
      <c r="T2" s="41"/>
    </row>
    <row r="3" spans="1:28" s="6" customFormat="1" ht="33" hidden="1" customHeight="1" x14ac:dyDescent="0.25">
      <c r="A3" s="1"/>
      <c r="B3" s="2"/>
      <c r="C3" s="3"/>
      <c r="D3" s="3"/>
      <c r="E3" s="3"/>
      <c r="F3" s="3"/>
      <c r="G3" s="3"/>
      <c r="H3" s="3"/>
      <c r="I3" s="5"/>
      <c r="J3" s="5"/>
      <c r="K3" s="170" t="s">
        <v>2</v>
      </c>
      <c r="L3" s="170"/>
      <c r="M3" s="170"/>
      <c r="N3" s="170"/>
      <c r="O3" s="170"/>
      <c r="P3" s="170"/>
      <c r="Q3" s="170"/>
      <c r="R3" s="170"/>
      <c r="S3" s="170"/>
      <c r="T3" s="41"/>
    </row>
    <row r="4" spans="1:28" s="6" customFormat="1" ht="33" hidden="1" x14ac:dyDescent="0.25">
      <c r="A4" s="1"/>
      <c r="B4" s="2"/>
      <c r="C4" s="3"/>
      <c r="D4" s="3"/>
      <c r="E4" s="3"/>
      <c r="F4" s="3"/>
      <c r="G4" s="4"/>
      <c r="H4" s="4"/>
      <c r="I4" s="7"/>
      <c r="J4" s="7"/>
      <c r="K4" s="7"/>
      <c r="L4" s="7"/>
      <c r="M4" s="8"/>
      <c r="N4" s="8"/>
      <c r="O4" s="8"/>
      <c r="P4" s="8"/>
      <c r="Q4" s="8"/>
      <c r="R4" s="8"/>
      <c r="S4" s="8"/>
      <c r="T4" s="8"/>
    </row>
    <row r="5" spans="1:28" s="6" customFormat="1" ht="16.5" hidden="1" x14ac:dyDescent="0.25">
      <c r="A5" s="9"/>
      <c r="B5" s="10"/>
      <c r="C5" s="11"/>
    </row>
    <row r="6" spans="1:28" s="6" customFormat="1" ht="29.25" customHeight="1" x14ac:dyDescent="0.25">
      <c r="A6" s="9"/>
      <c r="B6" s="10"/>
      <c r="C6" s="11"/>
    </row>
    <row r="7" spans="1:28" s="6" customFormat="1" ht="82.5" customHeight="1" x14ac:dyDescent="0.25">
      <c r="A7" s="171" t="s">
        <v>303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</row>
    <row r="8" spans="1:28" s="6" customFormat="1" ht="66.75" customHeight="1" x14ac:dyDescent="0.25">
      <c r="A8" s="167" t="s">
        <v>280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35"/>
      <c r="V8" s="35"/>
      <c r="W8" s="35"/>
      <c r="X8" s="35"/>
      <c r="Y8" s="35"/>
      <c r="Z8" s="35"/>
      <c r="AA8" s="35"/>
      <c r="AB8" s="12"/>
    </row>
    <row r="9" spans="1:28" s="6" customFormat="1" ht="24.75" customHeight="1" x14ac:dyDescent="0.5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</row>
    <row r="10" spans="1:28" s="6" customFormat="1" ht="19.5" hidden="1" thickBot="1" x14ac:dyDescent="0.35">
      <c r="A10" s="9"/>
      <c r="B10" s="10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28" s="15" customFormat="1" ht="16.5" customHeight="1" x14ac:dyDescent="0.25">
      <c r="A11" s="158" t="s">
        <v>4</v>
      </c>
      <c r="B11" s="159" t="s">
        <v>5</v>
      </c>
      <c r="C11" s="158" t="s">
        <v>6</v>
      </c>
      <c r="D11" s="166" t="s">
        <v>7</v>
      </c>
      <c r="E11" s="166"/>
      <c r="F11" s="174" t="s">
        <v>297</v>
      </c>
      <c r="G11" s="166" t="s">
        <v>8</v>
      </c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</row>
    <row r="12" spans="1:28" s="16" customFormat="1" ht="15.75" customHeight="1" x14ac:dyDescent="0.25">
      <c r="A12" s="158"/>
      <c r="B12" s="159"/>
      <c r="C12" s="158"/>
      <c r="D12" s="166"/>
      <c r="E12" s="166"/>
      <c r="F12" s="175"/>
      <c r="G12" s="165" t="s">
        <v>9</v>
      </c>
      <c r="H12" s="165"/>
      <c r="I12" s="158" t="s">
        <v>10</v>
      </c>
      <c r="J12" s="158"/>
      <c r="K12" s="158"/>
      <c r="L12" s="158"/>
      <c r="M12" s="158"/>
      <c r="N12" s="158"/>
      <c r="O12" s="158"/>
      <c r="P12" s="158"/>
      <c r="Q12" s="158"/>
      <c r="R12" s="158"/>
      <c r="S12" s="165" t="s">
        <v>11</v>
      </c>
      <c r="T12" s="165"/>
    </row>
    <row r="13" spans="1:28" s="17" customFormat="1" ht="73.5" customHeight="1" x14ac:dyDescent="0.25">
      <c r="A13" s="158"/>
      <c r="B13" s="159"/>
      <c r="C13" s="158"/>
      <c r="D13" s="166"/>
      <c r="E13" s="166"/>
      <c r="F13" s="176"/>
      <c r="G13" s="165"/>
      <c r="H13" s="165"/>
      <c r="I13" s="158" t="s">
        <v>12</v>
      </c>
      <c r="J13" s="158"/>
      <c r="K13" s="158" t="s">
        <v>13</v>
      </c>
      <c r="L13" s="158"/>
      <c r="M13" s="158" t="s">
        <v>14</v>
      </c>
      <c r="N13" s="158"/>
      <c r="O13" s="158" t="s">
        <v>15</v>
      </c>
      <c r="P13" s="158"/>
      <c r="Q13" s="158" t="s">
        <v>278</v>
      </c>
      <c r="R13" s="158"/>
      <c r="S13" s="165"/>
      <c r="T13" s="165"/>
    </row>
    <row r="14" spans="1:28" s="17" customFormat="1" ht="51.75" customHeight="1" x14ac:dyDescent="0.25">
      <c r="A14" s="158"/>
      <c r="B14" s="159"/>
      <c r="C14" s="158"/>
      <c r="D14" s="44" t="s">
        <v>295</v>
      </c>
      <c r="E14" s="44" t="s">
        <v>296</v>
      </c>
      <c r="F14" s="87"/>
      <c r="G14" s="45" t="s">
        <v>295</v>
      </c>
      <c r="H14" s="45" t="s">
        <v>296</v>
      </c>
      <c r="I14" s="45" t="s">
        <v>295</v>
      </c>
      <c r="J14" s="45" t="s">
        <v>296</v>
      </c>
      <c r="K14" s="45" t="s">
        <v>295</v>
      </c>
      <c r="L14" s="45" t="s">
        <v>296</v>
      </c>
      <c r="M14" s="45" t="s">
        <v>295</v>
      </c>
      <c r="N14" s="45" t="s">
        <v>296</v>
      </c>
      <c r="O14" s="45" t="s">
        <v>295</v>
      </c>
      <c r="P14" s="45" t="s">
        <v>296</v>
      </c>
      <c r="Q14" s="45" t="s">
        <v>295</v>
      </c>
      <c r="R14" s="45" t="s">
        <v>296</v>
      </c>
      <c r="S14" s="45" t="s">
        <v>295</v>
      </c>
      <c r="T14" s="45" t="s">
        <v>296</v>
      </c>
    </row>
    <row r="15" spans="1:28" s="18" customFormat="1" ht="24" customHeight="1" x14ac:dyDescent="0.25">
      <c r="A15" s="168" t="s">
        <v>16</v>
      </c>
      <c r="B15" s="168"/>
      <c r="C15" s="46"/>
      <c r="D15" s="34">
        <f>SUM(D16+D20+D26+D27+D28+D29+D30)</f>
        <v>832180.78</v>
      </c>
      <c r="E15" s="34">
        <f>SUM(E16+E20+E26+E27+E28+E29+E30)</f>
        <v>832180.78</v>
      </c>
      <c r="F15" s="34"/>
      <c r="G15" s="34">
        <f t="shared" ref="G15:S15" si="0">SUM(G16+G20+G26+G27+G28+G29+G30)</f>
        <v>0</v>
      </c>
      <c r="H15" s="34">
        <f t="shared" si="0"/>
        <v>0</v>
      </c>
      <c r="I15" s="34">
        <f t="shared" si="0"/>
        <v>0</v>
      </c>
      <c r="J15" s="34">
        <f t="shared" si="0"/>
        <v>0</v>
      </c>
      <c r="K15" s="34">
        <f t="shared" si="0"/>
        <v>0</v>
      </c>
      <c r="L15" s="34">
        <f t="shared" si="0"/>
        <v>0</v>
      </c>
      <c r="M15" s="34">
        <f t="shared" si="0"/>
        <v>0</v>
      </c>
      <c r="N15" s="34">
        <f t="shared" si="0"/>
        <v>0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0</v>
      </c>
      <c r="S15" s="34">
        <f t="shared" si="0"/>
        <v>832180.78</v>
      </c>
      <c r="T15" s="34">
        <f t="shared" ref="T15" si="1">SUM(T16+T20+T26+T27+T28+T29+T30)</f>
        <v>832180.78</v>
      </c>
    </row>
    <row r="16" spans="1:28" s="18" customFormat="1" ht="17.25" x14ac:dyDescent="0.25">
      <c r="A16" s="47" t="s">
        <v>17</v>
      </c>
      <c r="B16" s="48" t="s">
        <v>18</v>
      </c>
      <c r="C16" s="49"/>
      <c r="D16" s="34">
        <f t="shared" ref="D16:E16" si="2">SUM(D17:D19)</f>
        <v>0</v>
      </c>
      <c r="E16" s="34">
        <f t="shared" si="2"/>
        <v>0</v>
      </c>
      <c r="F16" s="34"/>
      <c r="G16" s="34">
        <f>SUM(G17:G19)</f>
        <v>0</v>
      </c>
      <c r="H16" s="34">
        <f t="shared" ref="H16:T16" si="3">SUM(H17:H19)</f>
        <v>0</v>
      </c>
      <c r="I16" s="34">
        <f t="shared" si="3"/>
        <v>0</v>
      </c>
      <c r="J16" s="34">
        <f t="shared" si="3"/>
        <v>0</v>
      </c>
      <c r="K16" s="34">
        <f t="shared" si="3"/>
        <v>0</v>
      </c>
      <c r="L16" s="34">
        <f t="shared" si="3"/>
        <v>0</v>
      </c>
      <c r="M16" s="34">
        <f t="shared" si="3"/>
        <v>0</v>
      </c>
      <c r="N16" s="34">
        <f t="shared" si="3"/>
        <v>0</v>
      </c>
      <c r="O16" s="34">
        <f t="shared" si="3"/>
        <v>0</v>
      </c>
      <c r="P16" s="34">
        <f t="shared" si="3"/>
        <v>0</v>
      </c>
      <c r="Q16" s="34">
        <f t="shared" si="3"/>
        <v>0</v>
      </c>
      <c r="R16" s="34">
        <f t="shared" si="3"/>
        <v>0</v>
      </c>
      <c r="S16" s="34">
        <f t="shared" si="3"/>
        <v>0</v>
      </c>
      <c r="T16" s="34">
        <f t="shared" si="3"/>
        <v>0</v>
      </c>
    </row>
    <row r="17" spans="1:20" s="6" customFormat="1" ht="16.5" x14ac:dyDescent="0.25">
      <c r="A17" s="50" t="s">
        <v>19</v>
      </c>
      <c r="B17" s="28" t="s">
        <v>20</v>
      </c>
      <c r="C17" s="51"/>
      <c r="D17" s="33">
        <f>SUM(G17+I17+K17+M17+O17+Q17+S17)</f>
        <v>0</v>
      </c>
      <c r="E17" s="33">
        <f>SUM(H17+J17+L17+N17+P17+R17+T17)</f>
        <v>0</v>
      </c>
      <c r="F17" s="33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1:20" s="6" customFormat="1" ht="16.5" x14ac:dyDescent="0.25">
      <c r="A18" s="50" t="s">
        <v>21</v>
      </c>
      <c r="B18" s="28" t="s">
        <v>22</v>
      </c>
      <c r="C18" s="51"/>
      <c r="D18" s="33">
        <f>SUM(G18+I18+K18+M18+O18+Q18+S18)</f>
        <v>0</v>
      </c>
      <c r="E18" s="33">
        <f>SUM(H18+J18+L18+N18+P18+R18+T18)</f>
        <v>0</v>
      </c>
      <c r="F18" s="33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s="6" customFormat="1" ht="16.5" hidden="1" x14ac:dyDescent="0.25">
      <c r="A19" s="52"/>
      <c r="B19" s="28"/>
      <c r="C19" s="51"/>
      <c r="D19" s="33">
        <f t="shared" ref="D19:D35" si="4">SUM(G19:S19)</f>
        <v>0</v>
      </c>
      <c r="E19" s="33"/>
      <c r="F19" s="33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s="20" customFormat="1" ht="17.25" x14ac:dyDescent="0.25">
      <c r="A20" s="53" t="s">
        <v>25</v>
      </c>
      <c r="B20" s="48" t="s">
        <v>26</v>
      </c>
      <c r="C20" s="54"/>
      <c r="D20" s="34">
        <f t="shared" si="4"/>
        <v>0</v>
      </c>
      <c r="E20" s="25">
        <f t="shared" ref="E20:T20" si="5">SUM(E21:E25)</f>
        <v>0</v>
      </c>
      <c r="F20" s="25"/>
      <c r="G20" s="25">
        <f t="shared" si="5"/>
        <v>0</v>
      </c>
      <c r="H20" s="25">
        <f t="shared" si="5"/>
        <v>0</v>
      </c>
      <c r="I20" s="25">
        <f t="shared" si="5"/>
        <v>0</v>
      </c>
      <c r="J20" s="25">
        <f t="shared" si="5"/>
        <v>0</v>
      </c>
      <c r="K20" s="25">
        <f t="shared" si="5"/>
        <v>0</v>
      </c>
      <c r="L20" s="25">
        <f t="shared" si="5"/>
        <v>0</v>
      </c>
      <c r="M20" s="25">
        <f t="shared" si="5"/>
        <v>0</v>
      </c>
      <c r="N20" s="25">
        <f t="shared" si="5"/>
        <v>0</v>
      </c>
      <c r="O20" s="25">
        <f t="shared" si="5"/>
        <v>0</v>
      </c>
      <c r="P20" s="25">
        <f t="shared" si="5"/>
        <v>0</v>
      </c>
      <c r="Q20" s="25">
        <f t="shared" si="5"/>
        <v>0</v>
      </c>
      <c r="R20" s="25">
        <f t="shared" si="5"/>
        <v>0</v>
      </c>
      <c r="S20" s="25">
        <f t="shared" si="5"/>
        <v>0</v>
      </c>
      <c r="T20" s="25">
        <f t="shared" si="5"/>
        <v>0</v>
      </c>
    </row>
    <row r="21" spans="1:20" s="22" customFormat="1" ht="33" hidden="1" x14ac:dyDescent="0.25">
      <c r="A21" s="50" t="s">
        <v>27</v>
      </c>
      <c r="B21" s="28" t="s">
        <v>28</v>
      </c>
      <c r="C21" s="55"/>
      <c r="D21" s="33">
        <f t="shared" si="4"/>
        <v>0</v>
      </c>
      <c r="E21" s="33"/>
      <c r="F21" s="33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38"/>
      <c r="R21" s="38"/>
      <c r="S21" s="21"/>
      <c r="T21" s="21"/>
    </row>
    <row r="22" spans="1:20" s="22" customFormat="1" ht="33" hidden="1" x14ac:dyDescent="0.25">
      <c r="A22" s="50" t="s">
        <v>29</v>
      </c>
      <c r="B22" s="28" t="s">
        <v>30</v>
      </c>
      <c r="C22" s="55"/>
      <c r="D22" s="33">
        <f t="shared" si="4"/>
        <v>0</v>
      </c>
      <c r="E22" s="33"/>
      <c r="F22" s="3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20" s="22" customFormat="1" ht="48" hidden="1" x14ac:dyDescent="0.25">
      <c r="A23" s="50" t="s">
        <v>31</v>
      </c>
      <c r="B23" s="28" t="s">
        <v>32</v>
      </c>
      <c r="C23" s="55"/>
      <c r="D23" s="33">
        <f t="shared" si="4"/>
        <v>0</v>
      </c>
      <c r="E23" s="33"/>
      <c r="F23" s="33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1:20" s="22" customFormat="1" ht="33" hidden="1" x14ac:dyDescent="0.25">
      <c r="A24" s="50" t="s">
        <v>33</v>
      </c>
      <c r="B24" s="28" t="s">
        <v>34</v>
      </c>
      <c r="C24" s="55"/>
      <c r="D24" s="33">
        <f t="shared" si="4"/>
        <v>0</v>
      </c>
      <c r="E24" s="33"/>
      <c r="F24" s="33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 spans="1:20" s="22" customFormat="1" ht="49.5" hidden="1" x14ac:dyDescent="0.25">
      <c r="A25" s="50" t="s">
        <v>35</v>
      </c>
      <c r="B25" s="28" t="s">
        <v>36</v>
      </c>
      <c r="C25" s="55"/>
      <c r="D25" s="33">
        <f t="shared" si="4"/>
        <v>0</v>
      </c>
      <c r="E25" s="33"/>
      <c r="F25" s="33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1:20" s="24" customFormat="1" ht="17.25" x14ac:dyDescent="0.25">
      <c r="A26" s="56">
        <v>3</v>
      </c>
      <c r="B26" s="48" t="s">
        <v>37</v>
      </c>
      <c r="C26" s="54"/>
      <c r="D26" s="34">
        <f t="shared" ref="D26:D30" si="6">SUM(G26+I26+K26+M26+O26+Q26+S26)</f>
        <v>0</v>
      </c>
      <c r="E26" s="34">
        <f t="shared" ref="E26:E30" si="7">SUM(H26+J26+L26+N26+P26+R26+T26)</f>
        <v>0</v>
      </c>
      <c r="F26" s="34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0" s="20" customFormat="1" ht="17.25" x14ac:dyDescent="0.25">
      <c r="A27" s="53">
        <v>4</v>
      </c>
      <c r="B27" s="48" t="s">
        <v>38</v>
      </c>
      <c r="C27" s="54"/>
      <c r="D27" s="34">
        <f t="shared" si="6"/>
        <v>45680.52</v>
      </c>
      <c r="E27" s="34">
        <f t="shared" si="7"/>
        <v>45680.52</v>
      </c>
      <c r="F27" s="3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>
        <v>45680.52</v>
      </c>
      <c r="T27" s="25">
        <v>45680.52</v>
      </c>
    </row>
    <row r="28" spans="1:20" s="20" customFormat="1" ht="17.25" x14ac:dyDescent="0.25">
      <c r="A28" s="53">
        <v>5</v>
      </c>
      <c r="B28" s="48" t="s">
        <v>39</v>
      </c>
      <c r="C28" s="54"/>
      <c r="D28" s="34">
        <f t="shared" si="6"/>
        <v>0</v>
      </c>
      <c r="E28" s="34">
        <f t="shared" si="7"/>
        <v>0</v>
      </c>
      <c r="F28" s="34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>
        <v>0</v>
      </c>
      <c r="T28" s="25">
        <v>0</v>
      </c>
    </row>
    <row r="29" spans="1:20" s="20" customFormat="1" ht="17.25" x14ac:dyDescent="0.25">
      <c r="A29" s="53">
        <v>6</v>
      </c>
      <c r="B29" s="48" t="s">
        <v>40</v>
      </c>
      <c r="C29" s="54"/>
      <c r="D29" s="34">
        <f t="shared" si="6"/>
        <v>0</v>
      </c>
      <c r="E29" s="34">
        <f t="shared" si="7"/>
        <v>0</v>
      </c>
      <c r="F29" s="34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>
        <v>0</v>
      </c>
      <c r="T29" s="25">
        <v>0</v>
      </c>
    </row>
    <row r="30" spans="1:20" s="20" customFormat="1" ht="17.25" x14ac:dyDescent="0.25">
      <c r="A30" s="53">
        <v>7</v>
      </c>
      <c r="B30" s="48" t="s">
        <v>41</v>
      </c>
      <c r="C30" s="54"/>
      <c r="D30" s="34">
        <f t="shared" si="6"/>
        <v>786500.26</v>
      </c>
      <c r="E30" s="34">
        <f t="shared" si="7"/>
        <v>786500.26</v>
      </c>
      <c r="F30" s="34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>
        <v>786500.26</v>
      </c>
      <c r="T30" s="25">
        <v>786500.26</v>
      </c>
    </row>
    <row r="31" spans="1:20" s="20" customFormat="1" ht="24" customHeight="1" x14ac:dyDescent="0.25">
      <c r="A31" s="163" t="s">
        <v>42</v>
      </c>
      <c r="B31" s="163"/>
      <c r="C31" s="57"/>
      <c r="D31" s="25">
        <f t="shared" ref="D31:T31" si="8">SUM(D32+D36+D42+D43+D44+D45+D46)</f>
        <v>65497213.600000001</v>
      </c>
      <c r="E31" s="25">
        <f t="shared" si="8"/>
        <v>13693089.599999998</v>
      </c>
      <c r="F31" s="91">
        <f t="shared" ref="F31:F94" si="9">SUM(E31/D31*100)</f>
        <v>20.906369671884786</v>
      </c>
      <c r="G31" s="25">
        <f t="shared" si="8"/>
        <v>62127213.600000001</v>
      </c>
      <c r="H31" s="25">
        <f t="shared" si="8"/>
        <v>12025969.199999999</v>
      </c>
      <c r="I31" s="25">
        <f t="shared" si="8"/>
        <v>0</v>
      </c>
      <c r="J31" s="25">
        <f t="shared" si="8"/>
        <v>0</v>
      </c>
      <c r="K31" s="25">
        <f t="shared" si="8"/>
        <v>0</v>
      </c>
      <c r="L31" s="25">
        <f t="shared" si="8"/>
        <v>0</v>
      </c>
      <c r="M31" s="25">
        <f t="shared" si="8"/>
        <v>0</v>
      </c>
      <c r="N31" s="25">
        <f t="shared" si="8"/>
        <v>0</v>
      </c>
      <c r="O31" s="25">
        <f t="shared" si="8"/>
        <v>0</v>
      </c>
      <c r="P31" s="25">
        <f t="shared" si="8"/>
        <v>0</v>
      </c>
      <c r="Q31" s="25">
        <f t="shared" si="8"/>
        <v>0</v>
      </c>
      <c r="R31" s="25">
        <f t="shared" si="8"/>
        <v>0</v>
      </c>
      <c r="S31" s="25">
        <f t="shared" si="8"/>
        <v>3370000</v>
      </c>
      <c r="T31" s="25">
        <f t="shared" si="8"/>
        <v>1667120.4</v>
      </c>
    </row>
    <row r="32" spans="1:20" s="24" customFormat="1" ht="17.25" x14ac:dyDescent="0.25">
      <c r="A32" s="56" t="s">
        <v>17</v>
      </c>
      <c r="B32" s="48" t="s">
        <v>18</v>
      </c>
      <c r="C32" s="54"/>
      <c r="D32" s="25">
        <f t="shared" ref="D32:E32" si="10">SUM(D33:D35)</f>
        <v>55860481.600000001</v>
      </c>
      <c r="E32" s="25">
        <f t="shared" si="10"/>
        <v>11726780</v>
      </c>
      <c r="F32" s="91">
        <f t="shared" si="9"/>
        <v>20.992980483003926</v>
      </c>
      <c r="G32" s="25">
        <f>SUM(G33:G35)</f>
        <v>55860481.600000001</v>
      </c>
      <c r="H32" s="25">
        <f t="shared" ref="H32:T32" si="11">SUM(H33:H35)</f>
        <v>11726780</v>
      </c>
      <c r="I32" s="25">
        <f t="shared" si="11"/>
        <v>0</v>
      </c>
      <c r="J32" s="25">
        <f t="shared" si="11"/>
        <v>0</v>
      </c>
      <c r="K32" s="25">
        <f t="shared" si="11"/>
        <v>0</v>
      </c>
      <c r="L32" s="25">
        <f t="shared" si="11"/>
        <v>0</v>
      </c>
      <c r="M32" s="25">
        <f t="shared" si="11"/>
        <v>0</v>
      </c>
      <c r="N32" s="25">
        <f t="shared" si="11"/>
        <v>0</v>
      </c>
      <c r="O32" s="25">
        <f t="shared" si="11"/>
        <v>0</v>
      </c>
      <c r="P32" s="25">
        <f t="shared" si="11"/>
        <v>0</v>
      </c>
      <c r="Q32" s="25">
        <f t="shared" si="11"/>
        <v>0</v>
      </c>
      <c r="R32" s="25">
        <f t="shared" si="11"/>
        <v>0</v>
      </c>
      <c r="S32" s="25">
        <f t="shared" si="11"/>
        <v>0</v>
      </c>
      <c r="T32" s="25">
        <f t="shared" si="11"/>
        <v>0</v>
      </c>
    </row>
    <row r="33" spans="1:43" s="22" customFormat="1" ht="16.5" x14ac:dyDescent="0.25">
      <c r="A33" s="50" t="s">
        <v>19</v>
      </c>
      <c r="B33" s="28" t="s">
        <v>20</v>
      </c>
      <c r="C33" s="55"/>
      <c r="D33" s="33">
        <f t="shared" ref="D33:D34" si="12">SUM(G33+I33+K33+M33+O33+Q33+S33)</f>
        <v>55742511.600000001</v>
      </c>
      <c r="E33" s="33">
        <f t="shared" ref="E33:E34" si="13">SUM(H33+J33+L33+N33+P33+R33+T33)</f>
        <v>11041380</v>
      </c>
      <c r="F33" s="92">
        <f t="shared" si="9"/>
        <v>19.807826527859575</v>
      </c>
      <c r="G33" s="90">
        <f>53934481.6+1926000-G34</f>
        <v>55742511.600000001</v>
      </c>
      <c r="H33" s="90">
        <f>10526780+1200000-H34</f>
        <v>11041380</v>
      </c>
      <c r="I33" s="38"/>
      <c r="J33" s="38"/>
      <c r="K33" s="21"/>
      <c r="L33" s="21"/>
      <c r="M33" s="38"/>
      <c r="N33" s="38"/>
      <c r="O33" s="38"/>
      <c r="P33" s="38"/>
      <c r="Q33" s="21"/>
      <c r="R33" s="21"/>
      <c r="S33" s="21"/>
      <c r="T33" s="21"/>
    </row>
    <row r="34" spans="1:43" s="22" customFormat="1" ht="16.5" x14ac:dyDescent="0.25">
      <c r="A34" s="50" t="s">
        <v>21</v>
      </c>
      <c r="B34" s="28" t="s">
        <v>22</v>
      </c>
      <c r="C34" s="55"/>
      <c r="D34" s="33">
        <f t="shared" si="12"/>
        <v>117970</v>
      </c>
      <c r="E34" s="33">
        <f t="shared" si="13"/>
        <v>685400</v>
      </c>
      <c r="F34" s="92">
        <v>0</v>
      </c>
      <c r="G34" s="90">
        <v>117970</v>
      </c>
      <c r="H34" s="90">
        <v>685400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 spans="1:43" s="22" customFormat="1" ht="16.5" hidden="1" x14ac:dyDescent="0.25">
      <c r="A35" s="52"/>
      <c r="B35" s="28"/>
      <c r="C35" s="55"/>
      <c r="D35" s="33">
        <f t="shared" si="4"/>
        <v>0</v>
      </c>
      <c r="E35" s="33"/>
      <c r="F35" s="91" t="e">
        <f t="shared" si="9"/>
        <v>#DIV/0!</v>
      </c>
      <c r="G35" s="38"/>
      <c r="H35" s="38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1:43" s="24" customFormat="1" ht="17.25" x14ac:dyDescent="0.25">
      <c r="A36" s="56" t="s">
        <v>25</v>
      </c>
      <c r="B36" s="48" t="s">
        <v>26</v>
      </c>
      <c r="C36" s="54"/>
      <c r="D36" s="25">
        <f t="shared" ref="D36:E36" si="14">SUM(D37:D41)</f>
        <v>6266732</v>
      </c>
      <c r="E36" s="25">
        <f t="shared" si="14"/>
        <v>299189.2</v>
      </c>
      <c r="F36" s="91">
        <f t="shared" si="9"/>
        <v>4.7742459706271143</v>
      </c>
      <c r="G36" s="25">
        <f>SUM(G37:G41)</f>
        <v>6266732</v>
      </c>
      <c r="H36" s="25">
        <f t="shared" ref="H36:T36" si="15">SUM(H37:H41)</f>
        <v>299189.2</v>
      </c>
      <c r="I36" s="25">
        <f t="shared" si="15"/>
        <v>0</v>
      </c>
      <c r="J36" s="25">
        <f t="shared" si="15"/>
        <v>0</v>
      </c>
      <c r="K36" s="25">
        <f t="shared" si="15"/>
        <v>0</v>
      </c>
      <c r="L36" s="25">
        <f t="shared" si="15"/>
        <v>0</v>
      </c>
      <c r="M36" s="25">
        <f t="shared" si="15"/>
        <v>0</v>
      </c>
      <c r="N36" s="25">
        <f t="shared" si="15"/>
        <v>0</v>
      </c>
      <c r="O36" s="25">
        <f t="shared" si="15"/>
        <v>0</v>
      </c>
      <c r="P36" s="25">
        <f t="shared" si="15"/>
        <v>0</v>
      </c>
      <c r="Q36" s="25">
        <f t="shared" si="15"/>
        <v>0</v>
      </c>
      <c r="R36" s="25">
        <f t="shared" si="15"/>
        <v>0</v>
      </c>
      <c r="S36" s="25">
        <f t="shared" si="15"/>
        <v>0</v>
      </c>
      <c r="T36" s="25">
        <f t="shared" si="15"/>
        <v>0</v>
      </c>
    </row>
    <row r="37" spans="1:43" s="22" customFormat="1" ht="33" x14ac:dyDescent="0.25">
      <c r="A37" s="50" t="s">
        <v>27</v>
      </c>
      <c r="B37" s="28" t="s">
        <v>43</v>
      </c>
      <c r="C37" s="55"/>
      <c r="D37" s="33">
        <f t="shared" ref="D37:D46" si="16">SUM(G37+I37+K37+M37+O37+Q37+S37)</f>
        <v>6216332</v>
      </c>
      <c r="E37" s="33">
        <f t="shared" ref="E37:E46" si="17">SUM(H37+J37+L37+N37+P37+R37+T37)</f>
        <v>299189.2</v>
      </c>
      <c r="F37" s="92">
        <f t="shared" si="9"/>
        <v>4.8129540056740865</v>
      </c>
      <c r="G37" s="90">
        <f>4589000+1627332</f>
        <v>6216332</v>
      </c>
      <c r="H37" s="90">
        <v>299189.2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pans="1:43" s="22" customFormat="1" ht="33" x14ac:dyDescent="0.25">
      <c r="A38" s="50" t="s">
        <v>29</v>
      </c>
      <c r="B38" s="28" t="s">
        <v>44</v>
      </c>
      <c r="C38" s="55"/>
      <c r="D38" s="33">
        <f t="shared" si="16"/>
        <v>0</v>
      </c>
      <c r="E38" s="33">
        <f t="shared" si="17"/>
        <v>0</v>
      </c>
      <c r="F38" s="92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1:43" s="22" customFormat="1" ht="48" x14ac:dyDescent="0.25">
      <c r="A39" s="50" t="s">
        <v>31</v>
      </c>
      <c r="B39" s="28" t="s">
        <v>32</v>
      </c>
      <c r="C39" s="55"/>
      <c r="D39" s="33">
        <f t="shared" si="16"/>
        <v>0</v>
      </c>
      <c r="E39" s="33">
        <f t="shared" si="17"/>
        <v>0</v>
      </c>
      <c r="F39" s="92"/>
      <c r="G39" s="38"/>
      <c r="H39" s="38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pans="1:43" s="22" customFormat="1" ht="33" x14ac:dyDescent="0.25">
      <c r="A40" s="50" t="s">
        <v>33</v>
      </c>
      <c r="B40" s="28" t="s">
        <v>34</v>
      </c>
      <c r="C40" s="55"/>
      <c r="D40" s="33">
        <f t="shared" si="16"/>
        <v>50400</v>
      </c>
      <c r="E40" s="33">
        <f t="shared" si="17"/>
        <v>0</v>
      </c>
      <c r="F40" s="92">
        <f t="shared" si="9"/>
        <v>0</v>
      </c>
      <c r="G40" s="90">
        <v>50400</v>
      </c>
      <c r="H40" s="38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1:43" s="22" customFormat="1" ht="49.5" x14ac:dyDescent="0.25">
      <c r="A41" s="50" t="s">
        <v>35</v>
      </c>
      <c r="B41" s="28" t="s">
        <v>36</v>
      </c>
      <c r="C41" s="55"/>
      <c r="D41" s="33">
        <f t="shared" si="16"/>
        <v>0</v>
      </c>
      <c r="E41" s="33">
        <f t="shared" si="17"/>
        <v>0</v>
      </c>
      <c r="F41" s="92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1:43" s="20" customFormat="1" ht="17.25" x14ac:dyDescent="0.25">
      <c r="A42" s="53">
        <v>3</v>
      </c>
      <c r="B42" s="48" t="s">
        <v>37</v>
      </c>
      <c r="C42" s="54"/>
      <c r="D42" s="34">
        <f t="shared" si="16"/>
        <v>0</v>
      </c>
      <c r="E42" s="34">
        <f t="shared" si="17"/>
        <v>0</v>
      </c>
      <c r="F42" s="9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43" s="20" customFormat="1" ht="17.25" x14ac:dyDescent="0.25">
      <c r="A43" s="53">
        <v>4</v>
      </c>
      <c r="B43" s="48" t="s">
        <v>38</v>
      </c>
      <c r="C43" s="54"/>
      <c r="D43" s="34">
        <f t="shared" si="16"/>
        <v>1070000</v>
      </c>
      <c r="E43" s="34">
        <f t="shared" si="17"/>
        <v>540344.43999999994</v>
      </c>
      <c r="F43" s="91">
        <f t="shared" si="9"/>
        <v>50.499480373831773</v>
      </c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>
        <v>1070000</v>
      </c>
      <c r="T43" s="89">
        <v>540344.43999999994</v>
      </c>
    </row>
    <row r="44" spans="1:43" s="20" customFormat="1" ht="17.25" x14ac:dyDescent="0.25">
      <c r="A44" s="53">
        <v>5</v>
      </c>
      <c r="B44" s="48" t="s">
        <v>39</v>
      </c>
      <c r="C44" s="54"/>
      <c r="D44" s="34">
        <f t="shared" si="16"/>
        <v>0</v>
      </c>
      <c r="E44" s="34">
        <f t="shared" si="17"/>
        <v>0</v>
      </c>
      <c r="F44" s="91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89"/>
    </row>
    <row r="45" spans="1:43" s="20" customFormat="1" ht="17.25" x14ac:dyDescent="0.25">
      <c r="A45" s="53">
        <v>6</v>
      </c>
      <c r="B45" s="48" t="s">
        <v>40</v>
      </c>
      <c r="C45" s="54"/>
      <c r="D45" s="34">
        <f t="shared" si="16"/>
        <v>0</v>
      </c>
      <c r="E45" s="34">
        <f t="shared" si="17"/>
        <v>0</v>
      </c>
      <c r="F45" s="91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89"/>
    </row>
    <row r="46" spans="1:43" s="20" customFormat="1" ht="17.25" x14ac:dyDescent="0.25">
      <c r="A46" s="53">
        <v>7</v>
      </c>
      <c r="B46" s="48" t="s">
        <v>41</v>
      </c>
      <c r="C46" s="54"/>
      <c r="D46" s="34">
        <f t="shared" si="16"/>
        <v>2300000</v>
      </c>
      <c r="E46" s="34">
        <f t="shared" si="17"/>
        <v>1126775.96</v>
      </c>
      <c r="F46" s="91">
        <f t="shared" si="9"/>
        <v>48.990259130434779</v>
      </c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>
        <v>2300000</v>
      </c>
      <c r="T46" s="89">
        <v>1126775.96</v>
      </c>
    </row>
    <row r="47" spans="1:43" s="20" customFormat="1" ht="20.25" x14ac:dyDescent="0.25">
      <c r="A47" s="163" t="s">
        <v>45</v>
      </c>
      <c r="B47" s="163"/>
      <c r="C47" s="57"/>
      <c r="D47" s="25">
        <f t="shared" ref="D47:U47" si="18">SUM(D48+D84+D186+D187+D206+D223+D241)</f>
        <v>66329394.380000003</v>
      </c>
      <c r="E47" s="25">
        <f t="shared" si="18"/>
        <v>12076228.279999999</v>
      </c>
      <c r="F47" s="91">
        <f t="shared" si="9"/>
        <v>18.206450387313183</v>
      </c>
      <c r="G47" s="25">
        <f t="shared" si="18"/>
        <v>62127213.600000001</v>
      </c>
      <c r="H47" s="25">
        <f t="shared" si="18"/>
        <v>10526658.899999999</v>
      </c>
      <c r="I47" s="25">
        <f t="shared" si="18"/>
        <v>0</v>
      </c>
      <c r="J47" s="25">
        <f t="shared" si="18"/>
        <v>0</v>
      </c>
      <c r="K47" s="25">
        <f t="shared" si="18"/>
        <v>0</v>
      </c>
      <c r="L47" s="25">
        <f t="shared" si="18"/>
        <v>0</v>
      </c>
      <c r="M47" s="25">
        <f t="shared" si="18"/>
        <v>0</v>
      </c>
      <c r="N47" s="25">
        <f t="shared" si="18"/>
        <v>0</v>
      </c>
      <c r="O47" s="25">
        <f t="shared" si="18"/>
        <v>0</v>
      </c>
      <c r="P47" s="25">
        <f t="shared" si="18"/>
        <v>0</v>
      </c>
      <c r="Q47" s="25">
        <f t="shared" si="18"/>
        <v>0</v>
      </c>
      <c r="R47" s="25">
        <f t="shared" si="18"/>
        <v>0</v>
      </c>
      <c r="S47" s="25">
        <f t="shared" si="18"/>
        <v>4202180.7799999993</v>
      </c>
      <c r="T47" s="25">
        <f t="shared" si="18"/>
        <v>1549569.3800000001</v>
      </c>
      <c r="U47" s="25">
        <f t="shared" si="18"/>
        <v>0</v>
      </c>
    </row>
    <row r="48" spans="1:43" s="20" customFormat="1" ht="17.25" x14ac:dyDescent="0.25">
      <c r="A48" s="53">
        <v>1</v>
      </c>
      <c r="B48" s="48" t="s">
        <v>18</v>
      </c>
      <c r="C48" s="54"/>
      <c r="D48" s="25">
        <f t="shared" ref="D48:E48" si="19">SUM(D49+D78+D82)</f>
        <v>55860481.600000001</v>
      </c>
      <c r="E48" s="25">
        <f t="shared" si="19"/>
        <v>10436809.699999999</v>
      </c>
      <c r="F48" s="91">
        <f t="shared" si="9"/>
        <v>18.683708770602507</v>
      </c>
      <c r="G48" s="25">
        <f>SUM(G49+G78+G82)</f>
        <v>55860481.600000001</v>
      </c>
      <c r="H48" s="25">
        <f t="shared" ref="H48:T48" si="20">SUM(H49+H78+H82)</f>
        <v>10436809.699999999</v>
      </c>
      <c r="I48" s="25">
        <f t="shared" si="20"/>
        <v>0</v>
      </c>
      <c r="J48" s="25">
        <f t="shared" si="20"/>
        <v>0</v>
      </c>
      <c r="K48" s="25">
        <f t="shared" si="20"/>
        <v>0</v>
      </c>
      <c r="L48" s="25">
        <f t="shared" si="20"/>
        <v>0</v>
      </c>
      <c r="M48" s="25">
        <f t="shared" si="20"/>
        <v>0</v>
      </c>
      <c r="N48" s="25">
        <f t="shared" si="20"/>
        <v>0</v>
      </c>
      <c r="O48" s="25">
        <f t="shared" si="20"/>
        <v>0</v>
      </c>
      <c r="P48" s="25">
        <f t="shared" si="20"/>
        <v>0</v>
      </c>
      <c r="Q48" s="25">
        <f t="shared" si="20"/>
        <v>0</v>
      </c>
      <c r="R48" s="25">
        <f t="shared" si="20"/>
        <v>0</v>
      </c>
      <c r="S48" s="25">
        <f t="shared" si="20"/>
        <v>0</v>
      </c>
      <c r="T48" s="25">
        <f t="shared" si="20"/>
        <v>0</v>
      </c>
      <c r="AQ48" s="20">
        <v>173284000</v>
      </c>
    </row>
    <row r="49" spans="1:20" s="20" customFormat="1" ht="17.25" x14ac:dyDescent="0.25">
      <c r="A49" s="53" t="s">
        <v>19</v>
      </c>
      <c r="B49" s="48" t="s">
        <v>20</v>
      </c>
      <c r="C49" s="54"/>
      <c r="D49" s="25">
        <f t="shared" ref="D49:E49" si="21">SUM(D50+D51+D52+D53+D54+D55+D59+D60+D61+D64+D65+D68)+D72</f>
        <v>55742511.600000001</v>
      </c>
      <c r="E49" s="25">
        <f t="shared" si="21"/>
        <v>10436664.389999999</v>
      </c>
      <c r="F49" s="91">
        <f t="shared" si="9"/>
        <v>18.722989134203271</v>
      </c>
      <c r="G49" s="25">
        <f t="shared" ref="G49" si="22">SUM(G50+G51+G52+G53+G54+G55+G59+G60+G61+G64+G65+G68)+G72</f>
        <v>55742511.600000001</v>
      </c>
      <c r="H49" s="25">
        <f t="shared" ref="H49:T49" si="23">SUM(H50+H51+H52+H53+H54+H55+H59+H60+H61+H64+H65+H68)+H72</f>
        <v>10436664.389999999</v>
      </c>
      <c r="I49" s="25">
        <f t="shared" si="23"/>
        <v>0</v>
      </c>
      <c r="J49" s="25">
        <f t="shared" si="23"/>
        <v>0</v>
      </c>
      <c r="K49" s="25">
        <f t="shared" si="23"/>
        <v>0</v>
      </c>
      <c r="L49" s="25">
        <f t="shared" si="23"/>
        <v>0</v>
      </c>
      <c r="M49" s="25">
        <f t="shared" si="23"/>
        <v>0</v>
      </c>
      <c r="N49" s="25">
        <f t="shared" si="23"/>
        <v>0</v>
      </c>
      <c r="O49" s="25">
        <f t="shared" si="23"/>
        <v>0</v>
      </c>
      <c r="P49" s="25">
        <f t="shared" si="23"/>
        <v>0</v>
      </c>
      <c r="Q49" s="25">
        <f t="shared" si="23"/>
        <v>0</v>
      </c>
      <c r="R49" s="25">
        <f t="shared" si="23"/>
        <v>0</v>
      </c>
      <c r="S49" s="25">
        <f t="shared" si="23"/>
        <v>0</v>
      </c>
      <c r="T49" s="25">
        <f t="shared" si="23"/>
        <v>0</v>
      </c>
    </row>
    <row r="50" spans="1:20" s="22" customFormat="1" ht="16.5" x14ac:dyDescent="0.25">
      <c r="A50" s="50" t="s">
        <v>46</v>
      </c>
      <c r="B50" s="28" t="s">
        <v>47</v>
      </c>
      <c r="C50" s="55">
        <v>211</v>
      </c>
      <c r="D50" s="33">
        <f t="shared" ref="D50:D51" si="24">SUM(G50+I50+K50+M50+O50+Q50+S50)</f>
        <v>19882722</v>
      </c>
      <c r="E50" s="33">
        <f t="shared" ref="E50:E51" si="25">SUM(H50+J50+L50+N50+P50+R50+T50)</f>
        <v>6906282.8799999999</v>
      </c>
      <c r="F50" s="93">
        <f t="shared" si="9"/>
        <v>34.735097538455747</v>
      </c>
      <c r="G50" s="38">
        <f>22842805-2960083</f>
        <v>19882722</v>
      </c>
      <c r="H50" s="80">
        <v>6906282.8799999999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</row>
    <row r="51" spans="1:20" s="22" customFormat="1" ht="16.5" x14ac:dyDescent="0.25">
      <c r="A51" s="50" t="s">
        <v>48</v>
      </c>
      <c r="B51" s="28" t="s">
        <v>49</v>
      </c>
      <c r="C51" s="55">
        <v>212</v>
      </c>
      <c r="D51" s="33">
        <f t="shared" si="24"/>
        <v>2160</v>
      </c>
      <c r="E51" s="33">
        <f t="shared" si="25"/>
        <v>48230</v>
      </c>
      <c r="F51" s="93">
        <f t="shared" si="9"/>
        <v>2232.8703703703704</v>
      </c>
      <c r="G51" s="38">
        <v>2160</v>
      </c>
      <c r="H51" s="80">
        <v>48230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</row>
    <row r="52" spans="1:20" s="22" customFormat="1" ht="16.5" x14ac:dyDescent="0.25">
      <c r="A52" s="50" t="s">
        <v>50</v>
      </c>
      <c r="B52" s="28" t="s">
        <v>51</v>
      </c>
      <c r="C52" s="55">
        <v>213</v>
      </c>
      <c r="D52" s="33">
        <f>SUM(G52+I52+K52+M52+O52+Q52+S52)</f>
        <v>5753257</v>
      </c>
      <c r="E52" s="33">
        <f>SUM(H52+J52+L52+N52+P52+R52+T52)</f>
        <v>1957973.85</v>
      </c>
      <c r="F52" s="93">
        <f t="shared" si="9"/>
        <v>34.032441971564978</v>
      </c>
      <c r="G52" s="38">
        <f>6647195-893938</f>
        <v>5753257</v>
      </c>
      <c r="H52" s="80">
        <v>1957973.85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 spans="1:20" s="22" customFormat="1" ht="16.5" x14ac:dyDescent="0.25">
      <c r="A53" s="52" t="s">
        <v>52</v>
      </c>
      <c r="B53" s="28" t="s">
        <v>53</v>
      </c>
      <c r="C53" s="55">
        <v>221</v>
      </c>
      <c r="D53" s="33">
        <f t="shared" ref="D53:D116" si="26">SUM(G53+I53+K53+M53+O53+Q53+S53)</f>
        <v>155000</v>
      </c>
      <c r="E53" s="33">
        <f t="shared" ref="E53:E116" si="27">SUM(H53+J53+L53+N53+P53+R53+T53)</f>
        <v>44174.2</v>
      </c>
      <c r="F53" s="93">
        <f t="shared" si="9"/>
        <v>28.49948387096774</v>
      </c>
      <c r="G53" s="38">
        <v>155000</v>
      </c>
      <c r="H53" s="80">
        <v>44174.2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</row>
    <row r="54" spans="1:20" s="22" customFormat="1" ht="16.5" x14ac:dyDescent="0.25">
      <c r="A54" s="50" t="s">
        <v>54</v>
      </c>
      <c r="B54" s="28" t="s">
        <v>55</v>
      </c>
      <c r="C54" s="55">
        <v>222</v>
      </c>
      <c r="D54" s="33">
        <f t="shared" si="26"/>
        <v>0</v>
      </c>
      <c r="E54" s="33">
        <f t="shared" si="27"/>
        <v>0</v>
      </c>
      <c r="F54" s="93"/>
      <c r="G54" s="38"/>
      <c r="H54" s="80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</row>
    <row r="55" spans="1:20" s="22" customFormat="1" ht="16.5" x14ac:dyDescent="0.25">
      <c r="A55" s="50" t="s">
        <v>56</v>
      </c>
      <c r="B55" s="28" t="s">
        <v>57</v>
      </c>
      <c r="C55" s="55">
        <v>223</v>
      </c>
      <c r="D55" s="33">
        <f t="shared" si="26"/>
        <v>351905.3</v>
      </c>
      <c r="E55" s="33">
        <f t="shared" si="27"/>
        <v>126082.61</v>
      </c>
      <c r="F55" s="93">
        <f t="shared" si="9"/>
        <v>35.828562400168458</v>
      </c>
      <c r="G55" s="38">
        <f>SUM(G56:G58)</f>
        <v>351905.3</v>
      </c>
      <c r="H55" s="80">
        <v>126082.61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</row>
    <row r="56" spans="1:20" s="22" customFormat="1" ht="16.5" x14ac:dyDescent="0.25">
      <c r="A56" s="50"/>
      <c r="B56" s="28" t="s">
        <v>58</v>
      </c>
      <c r="C56" s="55">
        <v>223</v>
      </c>
      <c r="D56" s="33">
        <f t="shared" si="26"/>
        <v>202459</v>
      </c>
      <c r="E56" s="33">
        <f t="shared" si="27"/>
        <v>92867.72</v>
      </c>
      <c r="F56" s="93">
        <f t="shared" si="9"/>
        <v>45.869889706063944</v>
      </c>
      <c r="G56" s="38">
        <v>202459</v>
      </c>
      <c r="H56" s="80">
        <v>92867.72</v>
      </c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</row>
    <row r="57" spans="1:20" s="22" customFormat="1" ht="16.5" x14ac:dyDescent="0.25">
      <c r="A57" s="50"/>
      <c r="B57" s="28" t="s">
        <v>59</v>
      </c>
      <c r="C57" s="55">
        <v>223</v>
      </c>
      <c r="D57" s="33">
        <f t="shared" si="26"/>
        <v>128114</v>
      </c>
      <c r="E57" s="33">
        <f t="shared" si="27"/>
        <v>27523.759999999998</v>
      </c>
      <c r="F57" s="93">
        <f t="shared" si="9"/>
        <v>21.483803487518927</v>
      </c>
      <c r="G57" s="38">
        <v>128114</v>
      </c>
      <c r="H57" s="80">
        <v>27523.759999999998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 spans="1:20" s="22" customFormat="1" ht="16.5" x14ac:dyDescent="0.25">
      <c r="A58" s="50"/>
      <c r="B58" s="28" t="s">
        <v>60</v>
      </c>
      <c r="C58" s="55">
        <v>223</v>
      </c>
      <c r="D58" s="33">
        <f t="shared" si="26"/>
        <v>21332.3</v>
      </c>
      <c r="E58" s="33">
        <f t="shared" si="27"/>
        <v>5691.13</v>
      </c>
      <c r="F58" s="93">
        <f t="shared" si="9"/>
        <v>26.678464113105484</v>
      </c>
      <c r="G58" s="38">
        <v>21332.3</v>
      </c>
      <c r="H58" s="80">
        <v>5691.13</v>
      </c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</row>
    <row r="59" spans="1:20" s="22" customFormat="1" ht="16.5" x14ac:dyDescent="0.25">
      <c r="A59" s="52" t="s">
        <v>61</v>
      </c>
      <c r="B59" s="28" t="s">
        <v>62</v>
      </c>
      <c r="C59" s="55">
        <v>224</v>
      </c>
      <c r="D59" s="33">
        <f t="shared" si="26"/>
        <v>0</v>
      </c>
      <c r="E59" s="33">
        <f t="shared" si="27"/>
        <v>0</v>
      </c>
      <c r="F59" s="93"/>
      <c r="G59" s="38"/>
      <c r="H59" s="80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</row>
    <row r="60" spans="1:20" s="22" customFormat="1" ht="16.5" x14ac:dyDescent="0.25">
      <c r="A60" s="52" t="s">
        <v>63</v>
      </c>
      <c r="B60" s="28" t="s">
        <v>64</v>
      </c>
      <c r="C60" s="55">
        <v>225</v>
      </c>
      <c r="D60" s="33">
        <f t="shared" si="26"/>
        <v>97098</v>
      </c>
      <c r="E60" s="33">
        <f t="shared" si="27"/>
        <v>39620.11</v>
      </c>
      <c r="F60" s="93">
        <f t="shared" si="9"/>
        <v>40.804249315124927</v>
      </c>
      <c r="G60" s="38">
        <v>97098</v>
      </c>
      <c r="H60" s="80">
        <v>39620.11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 spans="1:20" s="22" customFormat="1" ht="16.5" x14ac:dyDescent="0.25">
      <c r="A61" s="52" t="s">
        <v>65</v>
      </c>
      <c r="B61" s="28" t="s">
        <v>66</v>
      </c>
      <c r="C61" s="55">
        <v>226</v>
      </c>
      <c r="D61" s="33">
        <f t="shared" si="26"/>
        <v>29325369.300000001</v>
      </c>
      <c r="E61" s="33">
        <f t="shared" si="27"/>
        <v>1099485.74</v>
      </c>
      <c r="F61" s="93">
        <f t="shared" si="9"/>
        <v>3.749264770554825</v>
      </c>
      <c r="G61" s="38">
        <v>29325369.300000001</v>
      </c>
      <c r="H61" s="80">
        <v>1099485.74</v>
      </c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</row>
    <row r="62" spans="1:20" s="22" customFormat="1" ht="16.5" x14ac:dyDescent="0.25">
      <c r="A62" s="52"/>
      <c r="B62" s="28" t="s">
        <v>75</v>
      </c>
      <c r="C62" s="55">
        <v>226</v>
      </c>
      <c r="D62" s="33">
        <f t="shared" si="26"/>
        <v>0</v>
      </c>
      <c r="E62" s="33">
        <f t="shared" si="27"/>
        <v>0</v>
      </c>
      <c r="F62" s="93"/>
      <c r="G62" s="38"/>
      <c r="H62" s="80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</row>
    <row r="63" spans="1:20" s="22" customFormat="1" ht="16.5" x14ac:dyDescent="0.25">
      <c r="A63" s="52"/>
      <c r="B63" s="28" t="s">
        <v>285</v>
      </c>
      <c r="C63" s="55">
        <v>226</v>
      </c>
      <c r="D63" s="33">
        <f t="shared" si="26"/>
        <v>0</v>
      </c>
      <c r="E63" s="33">
        <f t="shared" si="27"/>
        <v>1099485.74</v>
      </c>
      <c r="F63" s="93"/>
      <c r="G63" s="38"/>
      <c r="H63" s="80">
        <v>1099485.74</v>
      </c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</row>
    <row r="64" spans="1:20" s="22" customFormat="1" ht="16.5" x14ac:dyDescent="0.25">
      <c r="A64" s="52" t="s">
        <v>67</v>
      </c>
      <c r="B64" s="28" t="s">
        <v>68</v>
      </c>
      <c r="C64" s="55">
        <v>290</v>
      </c>
      <c r="D64" s="33">
        <f t="shared" si="26"/>
        <v>0</v>
      </c>
      <c r="E64" s="33">
        <f t="shared" si="27"/>
        <v>151770</v>
      </c>
      <c r="F64" s="93"/>
      <c r="G64" s="38"/>
      <c r="H64" s="80">
        <v>151770</v>
      </c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</row>
    <row r="65" spans="1:20" s="22" customFormat="1" ht="16.5" x14ac:dyDescent="0.25">
      <c r="A65" s="52" t="s">
        <v>69</v>
      </c>
      <c r="B65" s="28" t="s">
        <v>70</v>
      </c>
      <c r="C65" s="55"/>
      <c r="D65" s="33">
        <f t="shared" si="26"/>
        <v>0</v>
      </c>
      <c r="E65" s="33">
        <f t="shared" si="27"/>
        <v>0</v>
      </c>
      <c r="F65" s="93"/>
      <c r="G65" s="21"/>
      <c r="H65" s="88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6" spans="1:20" s="22" customFormat="1" ht="16.5" x14ac:dyDescent="0.25">
      <c r="A66" s="52"/>
      <c r="B66" s="28" t="s">
        <v>71</v>
      </c>
      <c r="C66" s="55">
        <v>310</v>
      </c>
      <c r="D66" s="33">
        <f t="shared" si="26"/>
        <v>0</v>
      </c>
      <c r="E66" s="33">
        <f t="shared" si="27"/>
        <v>0</v>
      </c>
      <c r="F66" s="93"/>
      <c r="G66" s="21"/>
      <c r="H66" s="88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s="22" customFormat="1" ht="16.5" x14ac:dyDescent="0.25">
      <c r="A67" s="52"/>
      <c r="B67" s="28" t="s">
        <v>72</v>
      </c>
      <c r="C67" s="55">
        <v>310</v>
      </c>
      <c r="D67" s="33">
        <f t="shared" si="26"/>
        <v>0</v>
      </c>
      <c r="E67" s="33">
        <f t="shared" si="27"/>
        <v>0</v>
      </c>
      <c r="F67" s="93"/>
      <c r="G67" s="21"/>
      <c r="H67" s="88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</row>
    <row r="68" spans="1:20" s="22" customFormat="1" ht="16.5" x14ac:dyDescent="0.25">
      <c r="A68" s="52" t="s">
        <v>73</v>
      </c>
      <c r="B68" s="28" t="s">
        <v>74</v>
      </c>
      <c r="C68" s="55">
        <v>340</v>
      </c>
      <c r="D68" s="33">
        <f t="shared" si="26"/>
        <v>175000</v>
      </c>
      <c r="E68" s="33">
        <f t="shared" si="27"/>
        <v>63045</v>
      </c>
      <c r="F68" s="93">
        <f t="shared" si="9"/>
        <v>36.025714285714287</v>
      </c>
      <c r="G68" s="38">
        <f>SUM(G69:G71)</f>
        <v>175000</v>
      </c>
      <c r="H68" s="80">
        <f>SUM(H69:H71)</f>
        <v>63045</v>
      </c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</row>
    <row r="69" spans="1:20" s="22" customFormat="1" ht="16.5" x14ac:dyDescent="0.25">
      <c r="A69" s="52"/>
      <c r="B69" s="28" t="s">
        <v>75</v>
      </c>
      <c r="C69" s="55">
        <v>340</v>
      </c>
      <c r="D69" s="33">
        <f t="shared" si="26"/>
        <v>0</v>
      </c>
      <c r="E69" s="33">
        <f t="shared" si="27"/>
        <v>0</v>
      </c>
      <c r="F69" s="93"/>
      <c r="G69" s="21"/>
      <c r="H69" s="88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</row>
    <row r="70" spans="1:20" s="22" customFormat="1" ht="16.5" x14ac:dyDescent="0.25">
      <c r="A70" s="52"/>
      <c r="B70" s="28" t="s">
        <v>76</v>
      </c>
      <c r="C70" s="55">
        <v>340</v>
      </c>
      <c r="D70" s="33">
        <f t="shared" si="26"/>
        <v>0</v>
      </c>
      <c r="E70" s="33">
        <f t="shared" si="27"/>
        <v>0</v>
      </c>
      <c r="F70" s="93"/>
      <c r="G70" s="21"/>
      <c r="H70" s="88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</row>
    <row r="71" spans="1:20" s="22" customFormat="1" ht="16.5" x14ac:dyDescent="0.25">
      <c r="A71" s="52"/>
      <c r="B71" s="28" t="s">
        <v>77</v>
      </c>
      <c r="C71" s="55">
        <v>340</v>
      </c>
      <c r="D71" s="33">
        <f t="shared" si="26"/>
        <v>175000</v>
      </c>
      <c r="E71" s="33">
        <f t="shared" si="27"/>
        <v>63045</v>
      </c>
      <c r="F71" s="93">
        <f t="shared" si="9"/>
        <v>36.025714285714287</v>
      </c>
      <c r="G71" s="38">
        <v>175000</v>
      </c>
      <c r="H71" s="80">
        <v>63045</v>
      </c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</row>
    <row r="72" spans="1:20" s="22" customFormat="1" ht="16.5" x14ac:dyDescent="0.25">
      <c r="A72" s="52" t="s">
        <v>78</v>
      </c>
      <c r="B72" s="28" t="s">
        <v>79</v>
      </c>
      <c r="C72" s="55"/>
      <c r="D72" s="33">
        <f t="shared" si="26"/>
        <v>0</v>
      </c>
      <c r="E72" s="33">
        <f t="shared" si="27"/>
        <v>0</v>
      </c>
      <c r="F72" s="93"/>
      <c r="G72" s="21"/>
      <c r="H72" s="80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</row>
    <row r="73" spans="1:20" s="22" customFormat="1" ht="16.5" x14ac:dyDescent="0.25">
      <c r="A73" s="52"/>
      <c r="B73" s="28" t="s">
        <v>66</v>
      </c>
      <c r="C73" s="55">
        <v>226</v>
      </c>
      <c r="D73" s="33">
        <f t="shared" si="26"/>
        <v>0</v>
      </c>
      <c r="E73" s="33">
        <f t="shared" si="27"/>
        <v>0</v>
      </c>
      <c r="F73" s="93"/>
      <c r="G73" s="21"/>
      <c r="H73" s="88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</row>
    <row r="74" spans="1:20" s="22" customFormat="1" ht="16.5" x14ac:dyDescent="0.25">
      <c r="A74" s="52"/>
      <c r="B74" s="58" t="s">
        <v>74</v>
      </c>
      <c r="C74" s="55">
        <v>340</v>
      </c>
      <c r="D74" s="33">
        <f t="shared" si="26"/>
        <v>0</v>
      </c>
      <c r="E74" s="33">
        <f t="shared" si="27"/>
        <v>0</v>
      </c>
      <c r="F74" s="93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</row>
    <row r="75" spans="1:20" s="22" customFormat="1" ht="16.5" x14ac:dyDescent="0.25">
      <c r="A75" s="52"/>
      <c r="B75" s="58"/>
      <c r="C75" s="55"/>
      <c r="D75" s="33">
        <f t="shared" si="26"/>
        <v>0</v>
      </c>
      <c r="E75" s="33">
        <f t="shared" si="27"/>
        <v>0</v>
      </c>
      <c r="F75" s="93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</row>
    <row r="76" spans="1:20" s="22" customFormat="1" ht="16.5" x14ac:dyDescent="0.25">
      <c r="A76" s="52"/>
      <c r="B76" s="58"/>
      <c r="C76" s="55"/>
      <c r="D76" s="33">
        <f t="shared" si="26"/>
        <v>0</v>
      </c>
      <c r="E76" s="33">
        <f t="shared" si="27"/>
        <v>0</v>
      </c>
      <c r="F76" s="93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</row>
    <row r="77" spans="1:20" s="22" customFormat="1" ht="16.5" x14ac:dyDescent="0.25">
      <c r="A77" s="52"/>
      <c r="B77" s="58"/>
      <c r="C77" s="55"/>
      <c r="D77" s="33">
        <f t="shared" si="26"/>
        <v>0</v>
      </c>
      <c r="E77" s="33">
        <f t="shared" si="27"/>
        <v>0</v>
      </c>
      <c r="F77" s="93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</row>
    <row r="78" spans="1:20" s="20" customFormat="1" ht="17.25" x14ac:dyDescent="0.25">
      <c r="A78" s="59" t="s">
        <v>21</v>
      </c>
      <c r="B78" s="48" t="s">
        <v>22</v>
      </c>
      <c r="C78" s="54"/>
      <c r="D78" s="33">
        <f t="shared" si="26"/>
        <v>117970</v>
      </c>
      <c r="E78" s="33">
        <f t="shared" si="27"/>
        <v>145.31</v>
      </c>
      <c r="F78" s="93">
        <f t="shared" si="9"/>
        <v>0.12317538357209459</v>
      </c>
      <c r="G78" s="25">
        <f>SUM(G79:G81)</f>
        <v>117970</v>
      </c>
      <c r="H78" s="25">
        <f t="shared" ref="H78:T78" si="28">SUM(H79:H81)</f>
        <v>145.31</v>
      </c>
      <c r="I78" s="25">
        <f t="shared" si="28"/>
        <v>0</v>
      </c>
      <c r="J78" s="25">
        <f t="shared" si="28"/>
        <v>0</v>
      </c>
      <c r="K78" s="25">
        <f t="shared" si="28"/>
        <v>0</v>
      </c>
      <c r="L78" s="25">
        <f t="shared" si="28"/>
        <v>0</v>
      </c>
      <c r="M78" s="25">
        <f t="shared" si="28"/>
        <v>0</v>
      </c>
      <c r="N78" s="25">
        <f t="shared" si="28"/>
        <v>0</v>
      </c>
      <c r="O78" s="25">
        <f t="shared" si="28"/>
        <v>0</v>
      </c>
      <c r="P78" s="25">
        <f t="shared" si="28"/>
        <v>0</v>
      </c>
      <c r="Q78" s="25">
        <f t="shared" si="28"/>
        <v>0</v>
      </c>
      <c r="R78" s="25">
        <f t="shared" si="28"/>
        <v>0</v>
      </c>
      <c r="S78" s="25">
        <f t="shared" si="28"/>
        <v>0</v>
      </c>
      <c r="T78" s="25">
        <f t="shared" si="28"/>
        <v>0</v>
      </c>
    </row>
    <row r="79" spans="1:20" s="22" customFormat="1" ht="16.5" x14ac:dyDescent="0.25">
      <c r="A79" s="52"/>
      <c r="B79" s="28" t="s">
        <v>80</v>
      </c>
      <c r="C79" s="55">
        <v>290</v>
      </c>
      <c r="D79" s="33">
        <f t="shared" si="26"/>
        <v>83770</v>
      </c>
      <c r="E79" s="33">
        <f t="shared" si="27"/>
        <v>0</v>
      </c>
      <c r="F79" s="93">
        <f t="shared" si="9"/>
        <v>0</v>
      </c>
      <c r="G79" s="38">
        <v>83770</v>
      </c>
      <c r="H79" s="38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</row>
    <row r="80" spans="1:20" s="22" customFormat="1" ht="16.5" x14ac:dyDescent="0.25">
      <c r="A80" s="50"/>
      <c r="B80" s="28" t="s">
        <v>81</v>
      </c>
      <c r="C80" s="55">
        <v>290</v>
      </c>
      <c r="D80" s="33">
        <f t="shared" si="26"/>
        <v>29000</v>
      </c>
      <c r="E80" s="33">
        <f t="shared" si="27"/>
        <v>0</v>
      </c>
      <c r="F80" s="93">
        <f t="shared" si="9"/>
        <v>0</v>
      </c>
      <c r="G80" s="38">
        <v>29000</v>
      </c>
      <c r="H80" s="38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spans="1:20" s="22" customFormat="1" ht="16.5" x14ac:dyDescent="0.25">
      <c r="A81" s="50"/>
      <c r="B81" s="28" t="s">
        <v>82</v>
      </c>
      <c r="C81" s="55">
        <v>290</v>
      </c>
      <c r="D81" s="33">
        <f t="shared" si="26"/>
        <v>5200</v>
      </c>
      <c r="E81" s="33">
        <f t="shared" si="27"/>
        <v>145.31</v>
      </c>
      <c r="F81" s="93">
        <f t="shared" si="9"/>
        <v>2.7944230769230769</v>
      </c>
      <c r="G81" s="38">
        <v>5200</v>
      </c>
      <c r="H81" s="38">
        <v>145.31</v>
      </c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</row>
    <row r="82" spans="1:20" s="20" customFormat="1" ht="17.25" hidden="1" x14ac:dyDescent="0.25">
      <c r="A82" s="59"/>
      <c r="B82" s="48"/>
      <c r="C82" s="54"/>
      <c r="D82" s="33">
        <f t="shared" si="26"/>
        <v>0</v>
      </c>
      <c r="E82" s="33">
        <f t="shared" si="27"/>
        <v>0</v>
      </c>
      <c r="F82" s="93" t="e">
        <f t="shared" si="9"/>
        <v>#DIV/0!</v>
      </c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1:20" s="22" customFormat="1" ht="16.5" hidden="1" x14ac:dyDescent="0.25">
      <c r="A83" s="52"/>
      <c r="B83" s="58"/>
      <c r="C83" s="55"/>
      <c r="D83" s="33">
        <f t="shared" si="26"/>
        <v>0</v>
      </c>
      <c r="E83" s="33">
        <f t="shared" si="27"/>
        <v>0</v>
      </c>
      <c r="F83" s="93" t="e">
        <f t="shared" si="9"/>
        <v>#DIV/0!</v>
      </c>
      <c r="G83" s="38"/>
      <c r="H83" s="38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</row>
    <row r="84" spans="1:20" s="20" customFormat="1" ht="17.25" x14ac:dyDescent="0.25">
      <c r="A84" s="59" t="s">
        <v>25</v>
      </c>
      <c r="B84" s="48" t="s">
        <v>26</v>
      </c>
      <c r="C84" s="25"/>
      <c r="D84" s="33">
        <f t="shared" si="26"/>
        <v>6266732</v>
      </c>
      <c r="E84" s="33">
        <f t="shared" si="27"/>
        <v>89849.2</v>
      </c>
      <c r="F84" s="93">
        <f t="shared" si="9"/>
        <v>1.4337488821925048</v>
      </c>
      <c r="G84" s="25">
        <f>SUM(G85+G165+G168+G174+G180)</f>
        <v>6266732</v>
      </c>
      <c r="H84" s="25">
        <f t="shared" ref="H84:T84" si="29">SUM(H85+H165+H168+H174+H180)</f>
        <v>89849.2</v>
      </c>
      <c r="I84" s="25">
        <f t="shared" si="29"/>
        <v>0</v>
      </c>
      <c r="J84" s="25">
        <f t="shared" si="29"/>
        <v>0</v>
      </c>
      <c r="K84" s="25">
        <f t="shared" si="29"/>
        <v>0</v>
      </c>
      <c r="L84" s="25">
        <f t="shared" si="29"/>
        <v>0</v>
      </c>
      <c r="M84" s="25">
        <f t="shared" si="29"/>
        <v>0</v>
      </c>
      <c r="N84" s="25">
        <f t="shared" si="29"/>
        <v>0</v>
      </c>
      <c r="O84" s="25">
        <f t="shared" si="29"/>
        <v>0</v>
      </c>
      <c r="P84" s="25">
        <f t="shared" si="29"/>
        <v>0</v>
      </c>
      <c r="Q84" s="25">
        <f t="shared" si="29"/>
        <v>0</v>
      </c>
      <c r="R84" s="25">
        <f t="shared" si="29"/>
        <v>0</v>
      </c>
      <c r="S84" s="25">
        <f t="shared" si="29"/>
        <v>0</v>
      </c>
      <c r="T84" s="25">
        <f t="shared" si="29"/>
        <v>0</v>
      </c>
    </row>
    <row r="85" spans="1:20" s="20" customFormat="1" ht="51.75" x14ac:dyDescent="0.25">
      <c r="A85" s="59" t="s">
        <v>27</v>
      </c>
      <c r="B85" s="48" t="s">
        <v>83</v>
      </c>
      <c r="C85" s="54"/>
      <c r="D85" s="33">
        <f t="shared" si="26"/>
        <v>6216332</v>
      </c>
      <c r="E85" s="33">
        <f t="shared" si="27"/>
        <v>89849.2</v>
      </c>
      <c r="F85" s="93">
        <f t="shared" si="9"/>
        <v>1.4453732522651621</v>
      </c>
      <c r="G85" s="25">
        <f>SUM(G86+G89+G99+G118+G129+G135)+G123</f>
        <v>6216332</v>
      </c>
      <c r="H85" s="25">
        <f t="shared" ref="H85:T85" si="30">SUM(H86+H89+H99+H118+H129+H135)+H123</f>
        <v>89849.2</v>
      </c>
      <c r="I85" s="25">
        <f t="shared" si="30"/>
        <v>0</v>
      </c>
      <c r="J85" s="25">
        <f t="shared" si="30"/>
        <v>0</v>
      </c>
      <c r="K85" s="25">
        <f t="shared" si="30"/>
        <v>0</v>
      </c>
      <c r="L85" s="25">
        <f t="shared" si="30"/>
        <v>0</v>
      </c>
      <c r="M85" s="25">
        <f t="shared" si="30"/>
        <v>0</v>
      </c>
      <c r="N85" s="25">
        <f t="shared" si="30"/>
        <v>0</v>
      </c>
      <c r="O85" s="25">
        <f t="shared" si="30"/>
        <v>0</v>
      </c>
      <c r="P85" s="25">
        <f t="shared" si="30"/>
        <v>0</v>
      </c>
      <c r="Q85" s="25">
        <f t="shared" si="30"/>
        <v>0</v>
      </c>
      <c r="R85" s="25">
        <f t="shared" si="30"/>
        <v>0</v>
      </c>
      <c r="S85" s="25">
        <f t="shared" si="30"/>
        <v>0</v>
      </c>
      <c r="T85" s="25">
        <f t="shared" si="30"/>
        <v>0</v>
      </c>
    </row>
    <row r="86" spans="1:20" s="20" customFormat="1" ht="17.25" x14ac:dyDescent="0.25">
      <c r="A86" s="59" t="s">
        <v>84</v>
      </c>
      <c r="B86" s="48" t="s">
        <v>85</v>
      </c>
      <c r="C86" s="54"/>
      <c r="D86" s="33">
        <f t="shared" si="26"/>
        <v>0</v>
      </c>
      <c r="E86" s="33">
        <f t="shared" si="27"/>
        <v>0</v>
      </c>
      <c r="F86" s="93"/>
      <c r="G86" s="25">
        <f>SUM(G87:G88)</f>
        <v>0</v>
      </c>
      <c r="H86" s="25">
        <f t="shared" ref="H86:T86" si="31">SUM(H87:H88)</f>
        <v>0</v>
      </c>
      <c r="I86" s="25">
        <f t="shared" si="31"/>
        <v>0</v>
      </c>
      <c r="J86" s="25">
        <f t="shared" si="31"/>
        <v>0</v>
      </c>
      <c r="K86" s="25">
        <f t="shared" si="31"/>
        <v>0</v>
      </c>
      <c r="L86" s="25">
        <f t="shared" si="31"/>
        <v>0</v>
      </c>
      <c r="M86" s="25">
        <f t="shared" si="31"/>
        <v>0</v>
      </c>
      <c r="N86" s="25">
        <f t="shared" si="31"/>
        <v>0</v>
      </c>
      <c r="O86" s="25">
        <f t="shared" si="31"/>
        <v>0</v>
      </c>
      <c r="P86" s="25">
        <f t="shared" si="31"/>
        <v>0</v>
      </c>
      <c r="Q86" s="25">
        <f t="shared" si="31"/>
        <v>0</v>
      </c>
      <c r="R86" s="25">
        <f t="shared" si="31"/>
        <v>0</v>
      </c>
      <c r="S86" s="25">
        <f t="shared" si="31"/>
        <v>0</v>
      </c>
      <c r="T86" s="25">
        <f t="shared" si="31"/>
        <v>0</v>
      </c>
    </row>
    <row r="87" spans="1:20" s="26" customFormat="1" ht="16.5" hidden="1" x14ac:dyDescent="0.25">
      <c r="A87" s="60"/>
      <c r="B87" s="28" t="s">
        <v>86</v>
      </c>
      <c r="C87" s="55">
        <v>225</v>
      </c>
      <c r="D87" s="33">
        <f t="shared" si="26"/>
        <v>0</v>
      </c>
      <c r="E87" s="33">
        <f t="shared" si="27"/>
        <v>0</v>
      </c>
      <c r="F87" s="93" t="e">
        <f t="shared" si="9"/>
        <v>#DIV/0!</v>
      </c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1:20" s="26" customFormat="1" ht="16.5" hidden="1" x14ac:dyDescent="0.25">
      <c r="A88" s="52"/>
      <c r="B88" s="28" t="s">
        <v>87</v>
      </c>
      <c r="C88" s="55">
        <v>226</v>
      </c>
      <c r="D88" s="33">
        <f t="shared" si="26"/>
        <v>0</v>
      </c>
      <c r="E88" s="33">
        <f t="shared" si="27"/>
        <v>0</v>
      </c>
      <c r="F88" s="93" t="e">
        <f t="shared" si="9"/>
        <v>#DIV/0!</v>
      </c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1:20" s="20" customFormat="1" ht="17.25" x14ac:dyDescent="0.25">
      <c r="A89" s="59" t="s">
        <v>88</v>
      </c>
      <c r="B89" s="48" t="s">
        <v>89</v>
      </c>
      <c r="C89" s="54"/>
      <c r="D89" s="33">
        <f t="shared" si="26"/>
        <v>1611360.0000000002</v>
      </c>
      <c r="E89" s="33">
        <f t="shared" si="27"/>
        <v>0</v>
      </c>
      <c r="F89" s="93">
        <f t="shared" si="9"/>
        <v>0</v>
      </c>
      <c r="G89" s="25">
        <f>SUM(G90:G98)</f>
        <v>1611360.0000000002</v>
      </c>
      <c r="H89" s="25">
        <f t="shared" ref="H89:T89" si="32">SUM(H90:H98)</f>
        <v>0</v>
      </c>
      <c r="I89" s="25">
        <f t="shared" si="32"/>
        <v>0</v>
      </c>
      <c r="J89" s="25">
        <f t="shared" si="32"/>
        <v>0</v>
      </c>
      <c r="K89" s="25">
        <f t="shared" si="32"/>
        <v>0</v>
      </c>
      <c r="L89" s="25">
        <f t="shared" si="32"/>
        <v>0</v>
      </c>
      <c r="M89" s="25">
        <f t="shared" si="32"/>
        <v>0</v>
      </c>
      <c r="N89" s="25">
        <f t="shared" si="32"/>
        <v>0</v>
      </c>
      <c r="O89" s="25">
        <f t="shared" si="32"/>
        <v>0</v>
      </c>
      <c r="P89" s="25">
        <f t="shared" si="32"/>
        <v>0</v>
      </c>
      <c r="Q89" s="25">
        <f t="shared" si="32"/>
        <v>0</v>
      </c>
      <c r="R89" s="25">
        <f t="shared" si="32"/>
        <v>0</v>
      </c>
      <c r="S89" s="25">
        <f t="shared" si="32"/>
        <v>0</v>
      </c>
      <c r="T89" s="25">
        <f t="shared" si="32"/>
        <v>0</v>
      </c>
    </row>
    <row r="90" spans="1:20" s="26" customFormat="1" ht="16.5" x14ac:dyDescent="0.25">
      <c r="A90" s="52" t="s">
        <v>90</v>
      </c>
      <c r="B90" s="28" t="s">
        <v>91</v>
      </c>
      <c r="C90" s="55">
        <v>225</v>
      </c>
      <c r="D90" s="33">
        <f t="shared" si="26"/>
        <v>1611360.0000000002</v>
      </c>
      <c r="E90" s="33">
        <f t="shared" si="27"/>
        <v>0</v>
      </c>
      <c r="F90" s="93">
        <f t="shared" si="9"/>
        <v>0</v>
      </c>
      <c r="G90" s="38">
        <f>2716473.39-1105113.39</f>
        <v>1611360.0000000002</v>
      </c>
      <c r="H90" s="38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</row>
    <row r="91" spans="1:20" s="26" customFormat="1" ht="16.5" hidden="1" x14ac:dyDescent="0.25">
      <c r="A91" s="52" t="s">
        <v>90</v>
      </c>
      <c r="B91" s="28" t="s">
        <v>87</v>
      </c>
      <c r="C91" s="55">
        <v>226</v>
      </c>
      <c r="D91" s="33">
        <f t="shared" si="26"/>
        <v>0</v>
      </c>
      <c r="E91" s="33">
        <f t="shared" si="27"/>
        <v>0</v>
      </c>
      <c r="F91" s="93" t="e">
        <f t="shared" si="9"/>
        <v>#DIV/0!</v>
      </c>
      <c r="G91" s="38"/>
      <c r="H91" s="38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</row>
    <row r="92" spans="1:20" s="26" customFormat="1" ht="16.5" hidden="1" x14ac:dyDescent="0.25">
      <c r="A92" s="52" t="s">
        <v>92</v>
      </c>
      <c r="B92" s="28" t="s">
        <v>93</v>
      </c>
      <c r="C92" s="55">
        <v>340</v>
      </c>
      <c r="D92" s="33">
        <f t="shared" si="26"/>
        <v>0</v>
      </c>
      <c r="E92" s="33">
        <f t="shared" si="27"/>
        <v>0</v>
      </c>
      <c r="F92" s="93" t="e">
        <f t="shared" si="9"/>
        <v>#DIV/0!</v>
      </c>
      <c r="G92" s="38"/>
      <c r="H92" s="38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</row>
    <row r="93" spans="1:20" s="26" customFormat="1" ht="16.5" hidden="1" x14ac:dyDescent="0.25">
      <c r="A93" s="52" t="s">
        <v>94</v>
      </c>
      <c r="B93" s="28" t="s">
        <v>95</v>
      </c>
      <c r="C93" s="55">
        <v>310</v>
      </c>
      <c r="D93" s="33">
        <f t="shared" si="26"/>
        <v>0</v>
      </c>
      <c r="E93" s="33">
        <f t="shared" si="27"/>
        <v>0</v>
      </c>
      <c r="F93" s="93" t="e">
        <f t="shared" si="9"/>
        <v>#DIV/0!</v>
      </c>
      <c r="G93" s="38"/>
      <c r="H93" s="38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</row>
    <row r="94" spans="1:20" s="26" customFormat="1" ht="33" hidden="1" x14ac:dyDescent="0.25">
      <c r="A94" s="52" t="s">
        <v>96</v>
      </c>
      <c r="B94" s="28" t="s">
        <v>97</v>
      </c>
      <c r="C94" s="55">
        <v>225</v>
      </c>
      <c r="D94" s="33">
        <f t="shared" si="26"/>
        <v>0</v>
      </c>
      <c r="E94" s="33">
        <f t="shared" si="27"/>
        <v>0</v>
      </c>
      <c r="F94" s="93" t="e">
        <f t="shared" si="9"/>
        <v>#DIV/0!</v>
      </c>
      <c r="G94" s="38"/>
      <c r="H94" s="38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</row>
    <row r="95" spans="1:20" s="26" customFormat="1" ht="33" hidden="1" x14ac:dyDescent="0.25">
      <c r="A95" s="52" t="s">
        <v>96</v>
      </c>
      <c r="B95" s="28" t="s">
        <v>97</v>
      </c>
      <c r="C95" s="55">
        <v>226</v>
      </c>
      <c r="D95" s="33">
        <f t="shared" si="26"/>
        <v>0</v>
      </c>
      <c r="E95" s="33">
        <f t="shared" si="27"/>
        <v>0</v>
      </c>
      <c r="F95" s="93" t="e">
        <f t="shared" ref="F95:F130" si="33">SUM(E95/D95*100)</f>
        <v>#DIV/0!</v>
      </c>
      <c r="G95" s="38"/>
      <c r="H95" s="38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</row>
    <row r="96" spans="1:20" s="26" customFormat="1" ht="33" hidden="1" x14ac:dyDescent="0.25">
      <c r="A96" s="52" t="s">
        <v>96</v>
      </c>
      <c r="B96" s="28" t="s">
        <v>97</v>
      </c>
      <c r="C96" s="55">
        <v>340</v>
      </c>
      <c r="D96" s="33">
        <f t="shared" si="26"/>
        <v>0</v>
      </c>
      <c r="E96" s="33">
        <f t="shared" si="27"/>
        <v>0</v>
      </c>
      <c r="F96" s="93" t="e">
        <f t="shared" si="33"/>
        <v>#DIV/0!</v>
      </c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</row>
    <row r="97" spans="1:20" s="26" customFormat="1" ht="16.5" hidden="1" x14ac:dyDescent="0.25">
      <c r="A97" s="52" t="s">
        <v>98</v>
      </c>
      <c r="B97" s="28" t="s">
        <v>99</v>
      </c>
      <c r="C97" s="55">
        <v>310</v>
      </c>
      <c r="D97" s="33">
        <f t="shared" si="26"/>
        <v>0</v>
      </c>
      <c r="E97" s="33">
        <f t="shared" si="27"/>
        <v>0</v>
      </c>
      <c r="F97" s="93" t="e">
        <f t="shared" si="33"/>
        <v>#DIV/0!</v>
      </c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</row>
    <row r="98" spans="1:20" s="26" customFormat="1" ht="16.5" hidden="1" x14ac:dyDescent="0.25">
      <c r="A98" s="52" t="s">
        <v>98</v>
      </c>
      <c r="B98" s="28" t="s">
        <v>99</v>
      </c>
      <c r="C98" s="55">
        <v>340</v>
      </c>
      <c r="D98" s="33">
        <f t="shared" si="26"/>
        <v>0</v>
      </c>
      <c r="E98" s="33">
        <f t="shared" si="27"/>
        <v>0</v>
      </c>
      <c r="F98" s="93" t="e">
        <f t="shared" si="33"/>
        <v>#DIV/0!</v>
      </c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</row>
    <row r="99" spans="1:20" s="18" customFormat="1" ht="17.25" x14ac:dyDescent="0.25">
      <c r="A99" s="61" t="s">
        <v>100</v>
      </c>
      <c r="B99" s="62" t="s">
        <v>101</v>
      </c>
      <c r="C99" s="49"/>
      <c r="D99" s="34">
        <f t="shared" ref="D99:E99" si="34">SUM(D100:D117)</f>
        <v>15972</v>
      </c>
      <c r="E99" s="34">
        <f t="shared" si="34"/>
        <v>0</v>
      </c>
      <c r="F99" s="93">
        <f t="shared" si="33"/>
        <v>0</v>
      </c>
      <c r="G99" s="34">
        <f>SUM(G100:G117)</f>
        <v>15972</v>
      </c>
      <c r="H99" s="34">
        <f t="shared" ref="H99:T99" si="35">SUM(H100:H117)</f>
        <v>0</v>
      </c>
      <c r="I99" s="34">
        <f t="shared" si="35"/>
        <v>0</v>
      </c>
      <c r="J99" s="34">
        <f t="shared" si="35"/>
        <v>0</v>
      </c>
      <c r="K99" s="34">
        <f t="shared" si="35"/>
        <v>0</v>
      </c>
      <c r="L99" s="34">
        <f t="shared" si="35"/>
        <v>0</v>
      </c>
      <c r="M99" s="34">
        <f t="shared" si="35"/>
        <v>0</v>
      </c>
      <c r="N99" s="34">
        <f t="shared" si="35"/>
        <v>0</v>
      </c>
      <c r="O99" s="34">
        <f t="shared" si="35"/>
        <v>0</v>
      </c>
      <c r="P99" s="34">
        <f t="shared" si="35"/>
        <v>0</v>
      </c>
      <c r="Q99" s="34">
        <f t="shared" si="35"/>
        <v>0</v>
      </c>
      <c r="R99" s="34">
        <f t="shared" si="35"/>
        <v>0</v>
      </c>
      <c r="S99" s="34">
        <f t="shared" si="35"/>
        <v>0</v>
      </c>
      <c r="T99" s="34">
        <f t="shared" si="35"/>
        <v>0</v>
      </c>
    </row>
    <row r="100" spans="1:20" s="27" customFormat="1" ht="33" hidden="1" x14ac:dyDescent="0.25">
      <c r="A100" s="63" t="s">
        <v>102</v>
      </c>
      <c r="B100" s="58" t="s">
        <v>103</v>
      </c>
      <c r="C100" s="51">
        <v>226</v>
      </c>
      <c r="D100" s="33">
        <f t="shared" si="26"/>
        <v>0</v>
      </c>
      <c r="E100" s="33">
        <f t="shared" si="27"/>
        <v>0</v>
      </c>
      <c r="F100" s="93" t="e">
        <f t="shared" si="33"/>
        <v>#DIV/0!</v>
      </c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</row>
    <row r="101" spans="1:20" s="27" customFormat="1" ht="33" hidden="1" x14ac:dyDescent="0.25">
      <c r="A101" s="63" t="s">
        <v>102</v>
      </c>
      <c r="B101" s="58" t="s">
        <v>103</v>
      </c>
      <c r="C101" s="51">
        <v>310</v>
      </c>
      <c r="D101" s="33">
        <f t="shared" si="26"/>
        <v>0</v>
      </c>
      <c r="E101" s="33">
        <f t="shared" si="27"/>
        <v>0</v>
      </c>
      <c r="F101" s="93" t="e">
        <f t="shared" si="33"/>
        <v>#DIV/0!</v>
      </c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</row>
    <row r="102" spans="1:20" s="27" customFormat="1" ht="16.5" hidden="1" x14ac:dyDescent="0.25">
      <c r="A102" s="63" t="s">
        <v>104</v>
      </c>
      <c r="B102" s="58" t="s">
        <v>105</v>
      </c>
      <c r="C102" s="51">
        <v>226</v>
      </c>
      <c r="D102" s="33">
        <f t="shared" si="26"/>
        <v>0</v>
      </c>
      <c r="E102" s="33">
        <f t="shared" si="27"/>
        <v>0</v>
      </c>
      <c r="F102" s="93" t="e">
        <f t="shared" si="33"/>
        <v>#DIV/0!</v>
      </c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</row>
    <row r="103" spans="1:20" s="27" customFormat="1" ht="16.5" hidden="1" x14ac:dyDescent="0.25">
      <c r="A103" s="63" t="s">
        <v>104</v>
      </c>
      <c r="B103" s="58" t="s">
        <v>105</v>
      </c>
      <c r="C103" s="51">
        <v>310</v>
      </c>
      <c r="D103" s="33">
        <f t="shared" si="26"/>
        <v>0</v>
      </c>
      <c r="E103" s="33">
        <f t="shared" si="27"/>
        <v>0</v>
      </c>
      <c r="F103" s="93" t="e">
        <f t="shared" si="33"/>
        <v>#DIV/0!</v>
      </c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</row>
    <row r="104" spans="1:20" s="27" customFormat="1" ht="16.5" hidden="1" x14ac:dyDescent="0.25">
      <c r="A104" s="63" t="s">
        <v>106</v>
      </c>
      <c r="B104" s="28" t="s">
        <v>107</v>
      </c>
      <c r="C104" s="51">
        <v>340</v>
      </c>
      <c r="D104" s="33">
        <f t="shared" si="26"/>
        <v>0</v>
      </c>
      <c r="E104" s="33">
        <f t="shared" si="27"/>
        <v>0</v>
      </c>
      <c r="F104" s="93" t="e">
        <f t="shared" si="33"/>
        <v>#DIV/0!</v>
      </c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</row>
    <row r="105" spans="1:20" s="27" customFormat="1" ht="16.5" hidden="1" x14ac:dyDescent="0.25">
      <c r="A105" s="63" t="s">
        <v>108</v>
      </c>
      <c r="B105" s="58" t="s">
        <v>109</v>
      </c>
      <c r="C105" s="51">
        <v>226</v>
      </c>
      <c r="D105" s="33">
        <f t="shared" si="26"/>
        <v>0</v>
      </c>
      <c r="E105" s="33">
        <f t="shared" si="27"/>
        <v>0</v>
      </c>
      <c r="F105" s="93" t="e">
        <f t="shared" si="33"/>
        <v>#DIV/0!</v>
      </c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</row>
    <row r="106" spans="1:20" s="27" customFormat="1" ht="16.5" hidden="1" x14ac:dyDescent="0.25">
      <c r="A106" s="63" t="s">
        <v>108</v>
      </c>
      <c r="B106" s="58" t="s">
        <v>109</v>
      </c>
      <c r="C106" s="51">
        <v>310</v>
      </c>
      <c r="D106" s="33">
        <f t="shared" si="26"/>
        <v>0</v>
      </c>
      <c r="E106" s="33">
        <f t="shared" si="27"/>
        <v>0</v>
      </c>
      <c r="F106" s="93" t="e">
        <f t="shared" si="33"/>
        <v>#DIV/0!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</row>
    <row r="107" spans="1:20" s="27" customFormat="1" ht="16.5" hidden="1" x14ac:dyDescent="0.25">
      <c r="A107" s="63" t="s">
        <v>110</v>
      </c>
      <c r="B107" s="58" t="s">
        <v>111</v>
      </c>
      <c r="C107" s="51">
        <v>226</v>
      </c>
      <c r="D107" s="33">
        <f t="shared" si="26"/>
        <v>0</v>
      </c>
      <c r="E107" s="33">
        <f t="shared" si="27"/>
        <v>0</v>
      </c>
      <c r="F107" s="93" t="e">
        <f t="shared" si="33"/>
        <v>#DIV/0!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</row>
    <row r="108" spans="1:20" s="27" customFormat="1" ht="16.5" hidden="1" x14ac:dyDescent="0.25">
      <c r="A108" s="63" t="s">
        <v>112</v>
      </c>
      <c r="B108" s="58" t="s">
        <v>113</v>
      </c>
      <c r="C108" s="51">
        <v>226</v>
      </c>
      <c r="D108" s="33">
        <f t="shared" si="26"/>
        <v>0</v>
      </c>
      <c r="E108" s="33">
        <f t="shared" si="27"/>
        <v>0</v>
      </c>
      <c r="F108" s="93" t="e">
        <f t="shared" si="33"/>
        <v>#DIV/0!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</row>
    <row r="109" spans="1:20" s="27" customFormat="1" ht="33" hidden="1" x14ac:dyDescent="0.25">
      <c r="A109" s="63" t="s">
        <v>114</v>
      </c>
      <c r="B109" s="58" t="s">
        <v>115</v>
      </c>
      <c r="C109" s="51">
        <v>225</v>
      </c>
      <c r="D109" s="33">
        <f t="shared" si="26"/>
        <v>0</v>
      </c>
      <c r="E109" s="33">
        <f t="shared" si="27"/>
        <v>0</v>
      </c>
      <c r="F109" s="93" t="e">
        <f t="shared" si="33"/>
        <v>#DIV/0!</v>
      </c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</row>
    <row r="110" spans="1:20" s="27" customFormat="1" ht="16.5" x14ac:dyDescent="0.25">
      <c r="A110" s="63" t="s">
        <v>116</v>
      </c>
      <c r="B110" s="58" t="s">
        <v>117</v>
      </c>
      <c r="C110" s="51">
        <v>225</v>
      </c>
      <c r="D110" s="33">
        <f t="shared" si="26"/>
        <v>15972</v>
      </c>
      <c r="E110" s="33">
        <f t="shared" si="27"/>
        <v>0</v>
      </c>
      <c r="F110" s="93">
        <f t="shared" si="33"/>
        <v>0</v>
      </c>
      <c r="G110" s="38">
        <v>15972</v>
      </c>
      <c r="H110" s="38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</row>
    <row r="111" spans="1:20" s="27" customFormat="1" ht="16.5" hidden="1" x14ac:dyDescent="0.25">
      <c r="A111" s="63" t="s">
        <v>118</v>
      </c>
      <c r="B111" s="58" t="s">
        <v>119</v>
      </c>
      <c r="C111" s="51">
        <v>225</v>
      </c>
      <c r="D111" s="33">
        <f t="shared" si="26"/>
        <v>0</v>
      </c>
      <c r="E111" s="33">
        <f t="shared" si="27"/>
        <v>0</v>
      </c>
      <c r="F111" s="93" t="e">
        <f t="shared" si="33"/>
        <v>#DIV/0!</v>
      </c>
      <c r="G111" s="38"/>
      <c r="H111" s="38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</row>
    <row r="112" spans="1:20" s="27" customFormat="1" ht="16.5" hidden="1" x14ac:dyDescent="0.25">
      <c r="A112" s="63" t="s">
        <v>118</v>
      </c>
      <c r="B112" s="58" t="s">
        <v>119</v>
      </c>
      <c r="C112" s="51">
        <v>340</v>
      </c>
      <c r="D112" s="33">
        <f t="shared" si="26"/>
        <v>0</v>
      </c>
      <c r="E112" s="33">
        <f t="shared" si="27"/>
        <v>0</v>
      </c>
      <c r="F112" s="93" t="e">
        <f t="shared" si="33"/>
        <v>#DIV/0!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</row>
    <row r="113" spans="1:20" s="27" customFormat="1" ht="16.5" hidden="1" x14ac:dyDescent="0.25">
      <c r="A113" s="63" t="s">
        <v>120</v>
      </c>
      <c r="B113" s="58" t="s">
        <v>121</v>
      </c>
      <c r="C113" s="51">
        <v>225</v>
      </c>
      <c r="D113" s="33">
        <f t="shared" si="26"/>
        <v>0</v>
      </c>
      <c r="E113" s="33">
        <f t="shared" si="27"/>
        <v>0</v>
      </c>
      <c r="F113" s="93" t="e">
        <f t="shared" si="33"/>
        <v>#DIV/0!</v>
      </c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</row>
    <row r="114" spans="1:20" s="27" customFormat="1" ht="16.5" hidden="1" x14ac:dyDescent="0.25">
      <c r="A114" s="63" t="s">
        <v>122</v>
      </c>
      <c r="B114" s="58" t="s">
        <v>123</v>
      </c>
      <c r="C114" s="51">
        <v>225</v>
      </c>
      <c r="D114" s="33">
        <f t="shared" si="26"/>
        <v>0</v>
      </c>
      <c r="E114" s="33">
        <f t="shared" si="27"/>
        <v>0</v>
      </c>
      <c r="F114" s="93" t="e">
        <f t="shared" si="33"/>
        <v>#DIV/0!</v>
      </c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</row>
    <row r="115" spans="1:20" s="27" customFormat="1" ht="16.5" hidden="1" x14ac:dyDescent="0.25">
      <c r="A115" s="63" t="s">
        <v>122</v>
      </c>
      <c r="B115" s="58" t="s">
        <v>123</v>
      </c>
      <c r="C115" s="51">
        <v>310</v>
      </c>
      <c r="D115" s="33">
        <f t="shared" si="26"/>
        <v>0</v>
      </c>
      <c r="E115" s="33">
        <f t="shared" si="27"/>
        <v>0</v>
      </c>
      <c r="F115" s="93" t="e">
        <f t="shared" si="33"/>
        <v>#DIV/0!</v>
      </c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</row>
    <row r="116" spans="1:20" s="27" customFormat="1" ht="16.5" hidden="1" x14ac:dyDescent="0.25">
      <c r="A116" s="63" t="s">
        <v>124</v>
      </c>
      <c r="B116" s="58" t="s">
        <v>125</v>
      </c>
      <c r="C116" s="51">
        <v>225</v>
      </c>
      <c r="D116" s="33">
        <f t="shared" si="26"/>
        <v>0</v>
      </c>
      <c r="E116" s="33">
        <f t="shared" si="27"/>
        <v>0</v>
      </c>
      <c r="F116" s="93" t="e">
        <f t="shared" si="33"/>
        <v>#DIV/0!</v>
      </c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</row>
    <row r="117" spans="1:20" s="29" customFormat="1" ht="16.5" hidden="1" x14ac:dyDescent="0.25">
      <c r="A117" s="63" t="s">
        <v>126</v>
      </c>
      <c r="B117" s="28" t="s">
        <v>127</v>
      </c>
      <c r="C117" s="51">
        <v>226</v>
      </c>
      <c r="D117" s="33">
        <f t="shared" ref="D117:D182" si="36">SUM(G117+I117+K117+M117+O117+Q117+S117)</f>
        <v>0</v>
      </c>
      <c r="E117" s="33">
        <f t="shared" ref="E117:E182" si="37">SUM(H117+J117+L117+N117+P117+R117+T117)</f>
        <v>0</v>
      </c>
      <c r="F117" s="93" t="e">
        <f t="shared" si="33"/>
        <v>#DIV/0!</v>
      </c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</row>
    <row r="118" spans="1:20" s="18" customFormat="1" ht="17.25" hidden="1" x14ac:dyDescent="0.25">
      <c r="A118" s="61" t="s">
        <v>128</v>
      </c>
      <c r="B118" s="62" t="s">
        <v>129</v>
      </c>
      <c r="C118" s="49"/>
      <c r="D118" s="33">
        <f t="shared" si="36"/>
        <v>0</v>
      </c>
      <c r="E118" s="33">
        <f t="shared" si="37"/>
        <v>0</v>
      </c>
      <c r="F118" s="93" t="e">
        <f t="shared" si="33"/>
        <v>#DIV/0!</v>
      </c>
      <c r="G118" s="34">
        <f t="shared" ref="G118:S118" si="38">SUM(G119:G122)</f>
        <v>0</v>
      </c>
      <c r="H118" s="34"/>
      <c r="I118" s="34">
        <f t="shared" si="38"/>
        <v>0</v>
      </c>
      <c r="J118" s="34"/>
      <c r="K118" s="34">
        <f t="shared" si="38"/>
        <v>0</v>
      </c>
      <c r="L118" s="34"/>
      <c r="M118" s="34">
        <f t="shared" si="38"/>
        <v>0</v>
      </c>
      <c r="N118" s="34"/>
      <c r="O118" s="34">
        <f t="shared" si="38"/>
        <v>0</v>
      </c>
      <c r="P118" s="34"/>
      <c r="Q118" s="34"/>
      <c r="R118" s="34"/>
      <c r="S118" s="34">
        <f t="shared" si="38"/>
        <v>0</v>
      </c>
      <c r="T118" s="34">
        <f t="shared" ref="T118" si="39">SUM(T119:T122)</f>
        <v>0</v>
      </c>
    </row>
    <row r="119" spans="1:20" s="27" customFormat="1" ht="16.5" hidden="1" x14ac:dyDescent="0.25">
      <c r="A119" s="63" t="s">
        <v>130</v>
      </c>
      <c r="B119" s="58" t="s">
        <v>131</v>
      </c>
      <c r="C119" s="51">
        <v>310</v>
      </c>
      <c r="D119" s="33">
        <f t="shared" si="36"/>
        <v>0</v>
      </c>
      <c r="E119" s="33">
        <f t="shared" si="37"/>
        <v>0</v>
      </c>
      <c r="F119" s="93" t="e">
        <f t="shared" si="33"/>
        <v>#DIV/0!</v>
      </c>
      <c r="G119" s="21"/>
      <c r="H119" s="21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21"/>
      <c r="T119" s="21"/>
    </row>
    <row r="120" spans="1:20" s="27" customFormat="1" ht="33" hidden="1" x14ac:dyDescent="0.25">
      <c r="A120" s="63" t="s">
        <v>132</v>
      </c>
      <c r="B120" s="58" t="s">
        <v>133</v>
      </c>
      <c r="C120" s="51">
        <v>310</v>
      </c>
      <c r="D120" s="33">
        <f t="shared" si="36"/>
        <v>0</v>
      </c>
      <c r="E120" s="33">
        <f t="shared" si="37"/>
        <v>0</v>
      </c>
      <c r="F120" s="93" t="e">
        <f t="shared" si="33"/>
        <v>#DIV/0!</v>
      </c>
      <c r="G120" s="21"/>
      <c r="H120" s="21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21"/>
      <c r="T120" s="21"/>
    </row>
    <row r="121" spans="1:20" s="27" customFormat="1" ht="16.5" hidden="1" x14ac:dyDescent="0.25">
      <c r="A121" s="63" t="s">
        <v>134</v>
      </c>
      <c r="B121" s="58" t="s">
        <v>135</v>
      </c>
      <c r="C121" s="51">
        <v>310</v>
      </c>
      <c r="D121" s="33">
        <f t="shared" si="36"/>
        <v>0</v>
      </c>
      <c r="E121" s="33">
        <f t="shared" si="37"/>
        <v>0</v>
      </c>
      <c r="F121" s="93" t="e">
        <f t="shared" si="33"/>
        <v>#DIV/0!</v>
      </c>
      <c r="G121" s="21"/>
      <c r="H121" s="21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21"/>
      <c r="T121" s="21"/>
    </row>
    <row r="122" spans="1:20" s="27" customFormat="1" ht="16.5" hidden="1" x14ac:dyDescent="0.25">
      <c r="A122" s="63" t="s">
        <v>136</v>
      </c>
      <c r="B122" s="58" t="s">
        <v>137</v>
      </c>
      <c r="C122" s="51">
        <v>226</v>
      </c>
      <c r="D122" s="33">
        <f t="shared" si="36"/>
        <v>0</v>
      </c>
      <c r="E122" s="33">
        <f t="shared" si="37"/>
        <v>0</v>
      </c>
      <c r="F122" s="93" t="e">
        <f t="shared" si="33"/>
        <v>#DIV/0!</v>
      </c>
      <c r="G122" s="21"/>
      <c r="H122" s="21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21"/>
      <c r="T122" s="21"/>
    </row>
    <row r="123" spans="1:20" s="18" customFormat="1" ht="34.5" x14ac:dyDescent="0.25">
      <c r="A123" s="61" t="s">
        <v>287</v>
      </c>
      <c r="B123" s="62" t="s">
        <v>288</v>
      </c>
      <c r="C123" s="49"/>
      <c r="D123" s="34">
        <f t="shared" ref="D123:E123" si="40">SUM(D124:D128)</f>
        <v>600000</v>
      </c>
      <c r="E123" s="34">
        <f t="shared" si="40"/>
        <v>0</v>
      </c>
      <c r="F123" s="93">
        <f t="shared" si="33"/>
        <v>0</v>
      </c>
      <c r="G123" s="34">
        <f>SUM(G124:G128)</f>
        <v>600000</v>
      </c>
      <c r="H123" s="34">
        <f t="shared" ref="H123:T123" si="41">SUM(H124:H128)</f>
        <v>0</v>
      </c>
      <c r="I123" s="34">
        <f t="shared" si="41"/>
        <v>0</v>
      </c>
      <c r="J123" s="34">
        <f t="shared" si="41"/>
        <v>0</v>
      </c>
      <c r="K123" s="34">
        <f t="shared" si="41"/>
        <v>0</v>
      </c>
      <c r="L123" s="34">
        <f t="shared" si="41"/>
        <v>0</v>
      </c>
      <c r="M123" s="34">
        <f t="shared" si="41"/>
        <v>0</v>
      </c>
      <c r="N123" s="34">
        <f t="shared" si="41"/>
        <v>0</v>
      </c>
      <c r="O123" s="34">
        <f t="shared" si="41"/>
        <v>0</v>
      </c>
      <c r="P123" s="34">
        <f t="shared" si="41"/>
        <v>0</v>
      </c>
      <c r="Q123" s="34">
        <f t="shared" si="41"/>
        <v>0</v>
      </c>
      <c r="R123" s="34">
        <f t="shared" si="41"/>
        <v>0</v>
      </c>
      <c r="S123" s="34">
        <f t="shared" si="41"/>
        <v>0</v>
      </c>
      <c r="T123" s="34">
        <f t="shared" si="41"/>
        <v>0</v>
      </c>
    </row>
    <row r="124" spans="1:20" s="27" customFormat="1" ht="16.5" x14ac:dyDescent="0.25">
      <c r="A124" s="63" t="s">
        <v>287</v>
      </c>
      <c r="B124" s="64" t="s">
        <v>140</v>
      </c>
      <c r="C124" s="51">
        <v>226</v>
      </c>
      <c r="D124" s="33">
        <f t="shared" si="36"/>
        <v>600000</v>
      </c>
      <c r="E124" s="33">
        <f t="shared" si="37"/>
        <v>0</v>
      </c>
      <c r="F124" s="93">
        <f t="shared" si="33"/>
        <v>0</v>
      </c>
      <c r="G124" s="38">
        <v>600000</v>
      </c>
      <c r="H124" s="38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21"/>
      <c r="T124" s="21"/>
    </row>
    <row r="125" spans="1:20" s="27" customFormat="1" ht="16.5" x14ac:dyDescent="0.25">
      <c r="A125" s="63"/>
      <c r="B125" s="64"/>
      <c r="C125" s="51"/>
      <c r="D125" s="33"/>
      <c r="E125" s="33"/>
      <c r="F125" s="93"/>
      <c r="G125" s="38"/>
      <c r="H125" s="38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21"/>
      <c r="T125" s="21"/>
    </row>
    <row r="126" spans="1:20" s="27" customFormat="1" ht="16.5" x14ac:dyDescent="0.25">
      <c r="A126" s="63" t="s">
        <v>287</v>
      </c>
      <c r="B126" s="58" t="s">
        <v>290</v>
      </c>
      <c r="C126" s="51">
        <v>310</v>
      </c>
      <c r="D126" s="33">
        <f t="shared" si="36"/>
        <v>0</v>
      </c>
      <c r="E126" s="33">
        <f t="shared" si="37"/>
        <v>0</v>
      </c>
      <c r="F126" s="93" t="e">
        <f t="shared" si="33"/>
        <v>#DIV/0!</v>
      </c>
      <c r="G126" s="21"/>
      <c r="H126" s="21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21"/>
      <c r="T126" s="21"/>
    </row>
    <row r="127" spans="1:20" s="27" customFormat="1" ht="16.5" x14ac:dyDescent="0.25">
      <c r="A127" s="63"/>
      <c r="B127" s="58"/>
      <c r="C127" s="51"/>
      <c r="D127" s="33"/>
      <c r="E127" s="33"/>
      <c r="F127" s="93"/>
      <c r="G127" s="21"/>
      <c r="H127" s="21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21"/>
      <c r="T127" s="21"/>
    </row>
    <row r="128" spans="1:20" s="27" customFormat="1" ht="16.5" x14ac:dyDescent="0.25">
      <c r="A128" s="63" t="s">
        <v>287</v>
      </c>
      <c r="B128" s="58" t="s">
        <v>290</v>
      </c>
      <c r="C128" s="51">
        <v>212</v>
      </c>
      <c r="D128" s="33">
        <f t="shared" si="36"/>
        <v>0</v>
      </c>
      <c r="E128" s="33">
        <f t="shared" si="37"/>
        <v>0</v>
      </c>
      <c r="F128" s="93" t="e">
        <f t="shared" si="33"/>
        <v>#DIV/0!</v>
      </c>
      <c r="G128" s="21"/>
      <c r="H128" s="21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21"/>
      <c r="T128" s="21"/>
    </row>
    <row r="129" spans="1:20" s="18" customFormat="1" ht="17.25" x14ac:dyDescent="0.25">
      <c r="A129" s="65" t="s">
        <v>138</v>
      </c>
      <c r="B129" s="66" t="s">
        <v>139</v>
      </c>
      <c r="C129" s="67"/>
      <c r="D129" s="34">
        <f t="shared" ref="D129" si="42">SUM(D130:D134)</f>
        <v>3989000</v>
      </c>
      <c r="E129" s="34">
        <f t="shared" ref="E129" si="43">SUM(E130:E134)</f>
        <v>89849.2</v>
      </c>
      <c r="F129" s="93">
        <f t="shared" si="33"/>
        <v>2.2524241664577587</v>
      </c>
      <c r="G129" s="34">
        <f t="shared" ref="G129" si="44">SUM(G130:G134)</f>
        <v>3989000</v>
      </c>
      <c r="H129" s="34">
        <f>SUM(H130:H134)</f>
        <v>89849.2</v>
      </c>
      <c r="I129" s="34">
        <f t="shared" ref="I129:T129" si="45">SUM(I130:I130)</f>
        <v>0</v>
      </c>
      <c r="J129" s="34">
        <f t="shared" si="45"/>
        <v>0</v>
      </c>
      <c r="K129" s="34">
        <f t="shared" si="45"/>
        <v>0</v>
      </c>
      <c r="L129" s="34">
        <f t="shared" si="45"/>
        <v>0</v>
      </c>
      <c r="M129" s="34">
        <f t="shared" si="45"/>
        <v>0</v>
      </c>
      <c r="N129" s="34">
        <f t="shared" si="45"/>
        <v>0</v>
      </c>
      <c r="O129" s="34">
        <f t="shared" si="45"/>
        <v>0</v>
      </c>
      <c r="P129" s="34">
        <f t="shared" si="45"/>
        <v>0</v>
      </c>
      <c r="Q129" s="34">
        <f t="shared" si="45"/>
        <v>0</v>
      </c>
      <c r="R129" s="34">
        <f t="shared" si="45"/>
        <v>0</v>
      </c>
      <c r="S129" s="34">
        <f t="shared" si="45"/>
        <v>0</v>
      </c>
      <c r="T129" s="34">
        <f t="shared" si="45"/>
        <v>0</v>
      </c>
    </row>
    <row r="130" spans="1:20" s="29" customFormat="1" ht="16.5" x14ac:dyDescent="0.25">
      <c r="A130" s="68"/>
      <c r="B130" s="64" t="s">
        <v>140</v>
      </c>
      <c r="C130" s="69">
        <v>226</v>
      </c>
      <c r="D130" s="33">
        <f t="shared" si="36"/>
        <v>3989000</v>
      </c>
      <c r="E130" s="33">
        <f t="shared" si="37"/>
        <v>19216.2</v>
      </c>
      <c r="F130" s="93">
        <f t="shared" si="33"/>
        <v>0.48172975683128605</v>
      </c>
      <c r="G130" s="38">
        <f>2925386.4+1063613.6</f>
        <v>3989000</v>
      </c>
      <c r="H130" s="80">
        <v>19216.2</v>
      </c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21"/>
      <c r="T130" s="21"/>
    </row>
    <row r="131" spans="1:20" s="29" customFormat="1" ht="16.5" x14ac:dyDescent="0.25">
      <c r="A131" s="68"/>
      <c r="B131" s="64" t="s">
        <v>140</v>
      </c>
      <c r="C131" s="69">
        <v>222</v>
      </c>
      <c r="D131" s="33">
        <f t="shared" si="36"/>
        <v>0</v>
      </c>
      <c r="E131" s="33">
        <f t="shared" si="37"/>
        <v>0</v>
      </c>
      <c r="F131" s="93"/>
      <c r="G131" s="38"/>
      <c r="H131" s="80">
        <v>0</v>
      </c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21"/>
      <c r="T131" s="21"/>
    </row>
    <row r="132" spans="1:20" s="29" customFormat="1" ht="16.5" x14ac:dyDescent="0.25">
      <c r="A132" s="68"/>
      <c r="B132" s="64" t="s">
        <v>140</v>
      </c>
      <c r="C132" s="69">
        <v>290</v>
      </c>
      <c r="D132" s="33">
        <f t="shared" si="36"/>
        <v>0</v>
      </c>
      <c r="E132" s="33">
        <f t="shared" si="37"/>
        <v>35810</v>
      </c>
      <c r="F132" s="93"/>
      <c r="G132" s="38"/>
      <c r="H132" s="80">
        <v>35810</v>
      </c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21"/>
      <c r="T132" s="21"/>
    </row>
    <row r="133" spans="1:20" s="29" customFormat="1" ht="16.5" x14ac:dyDescent="0.25">
      <c r="A133" s="68"/>
      <c r="B133" s="64" t="s">
        <v>140</v>
      </c>
      <c r="C133" s="69">
        <v>310</v>
      </c>
      <c r="D133" s="33">
        <f t="shared" si="36"/>
        <v>0</v>
      </c>
      <c r="E133" s="33">
        <f t="shared" si="37"/>
        <v>7404.8</v>
      </c>
      <c r="F133" s="93"/>
      <c r="G133" s="38"/>
      <c r="H133" s="80">
        <v>7404.8</v>
      </c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21"/>
      <c r="T133" s="21"/>
    </row>
    <row r="134" spans="1:20" s="29" customFormat="1" ht="16.5" x14ac:dyDescent="0.25">
      <c r="A134" s="68"/>
      <c r="B134" s="64" t="s">
        <v>140</v>
      </c>
      <c r="C134" s="69">
        <v>340</v>
      </c>
      <c r="D134" s="33">
        <f t="shared" si="36"/>
        <v>0</v>
      </c>
      <c r="E134" s="33">
        <f t="shared" si="37"/>
        <v>27418.2</v>
      </c>
      <c r="F134" s="93"/>
      <c r="G134" s="38"/>
      <c r="H134" s="80">
        <v>27418.2</v>
      </c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21"/>
      <c r="T134" s="21"/>
    </row>
    <row r="135" spans="1:20" s="18" customFormat="1" ht="17.25" x14ac:dyDescent="0.25">
      <c r="A135" s="61" t="s">
        <v>141</v>
      </c>
      <c r="B135" s="62" t="s">
        <v>142</v>
      </c>
      <c r="C135" s="49"/>
      <c r="D135" s="34">
        <f t="shared" ref="D135:T135" si="46">SUM(D136:D164)</f>
        <v>0</v>
      </c>
      <c r="E135" s="34">
        <f t="shared" si="46"/>
        <v>0</v>
      </c>
      <c r="F135" s="93"/>
      <c r="G135" s="34">
        <f t="shared" si="46"/>
        <v>0</v>
      </c>
      <c r="H135" s="34">
        <f t="shared" si="46"/>
        <v>0</v>
      </c>
      <c r="I135" s="34">
        <f t="shared" si="46"/>
        <v>0</v>
      </c>
      <c r="J135" s="34">
        <f t="shared" si="46"/>
        <v>0</v>
      </c>
      <c r="K135" s="34">
        <f t="shared" si="46"/>
        <v>0</v>
      </c>
      <c r="L135" s="34">
        <f t="shared" si="46"/>
        <v>0</v>
      </c>
      <c r="M135" s="34">
        <f t="shared" si="46"/>
        <v>0</v>
      </c>
      <c r="N135" s="34">
        <f t="shared" si="46"/>
        <v>0</v>
      </c>
      <c r="O135" s="34">
        <f t="shared" si="46"/>
        <v>0</v>
      </c>
      <c r="P135" s="34">
        <f t="shared" si="46"/>
        <v>0</v>
      </c>
      <c r="Q135" s="34">
        <f t="shared" si="46"/>
        <v>0</v>
      </c>
      <c r="R135" s="34">
        <f t="shared" si="46"/>
        <v>0</v>
      </c>
      <c r="S135" s="34">
        <f t="shared" si="46"/>
        <v>0</v>
      </c>
      <c r="T135" s="34">
        <f t="shared" si="46"/>
        <v>0</v>
      </c>
    </row>
    <row r="136" spans="1:20" s="29" customFormat="1" ht="16.5" hidden="1" x14ac:dyDescent="0.25">
      <c r="A136" s="63" t="s">
        <v>143</v>
      </c>
      <c r="B136" s="58" t="s">
        <v>144</v>
      </c>
      <c r="C136" s="51">
        <v>226</v>
      </c>
      <c r="D136" s="33">
        <f t="shared" si="36"/>
        <v>0</v>
      </c>
      <c r="E136" s="33">
        <f t="shared" si="37"/>
        <v>0</v>
      </c>
      <c r="F136" s="93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</row>
    <row r="137" spans="1:20" s="6" customFormat="1" ht="16.5" hidden="1" x14ac:dyDescent="0.25">
      <c r="A137" s="63" t="s">
        <v>143</v>
      </c>
      <c r="B137" s="58" t="s">
        <v>144</v>
      </c>
      <c r="C137" s="51">
        <v>310</v>
      </c>
      <c r="D137" s="33">
        <f t="shared" si="36"/>
        <v>0</v>
      </c>
      <c r="E137" s="33">
        <f t="shared" si="37"/>
        <v>0</v>
      </c>
      <c r="F137" s="93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</row>
    <row r="138" spans="1:20" s="6" customFormat="1" ht="16.5" hidden="1" x14ac:dyDescent="0.25">
      <c r="A138" s="63" t="s">
        <v>145</v>
      </c>
      <c r="B138" s="58" t="s">
        <v>146</v>
      </c>
      <c r="C138" s="51">
        <v>226</v>
      </c>
      <c r="D138" s="33">
        <f t="shared" si="36"/>
        <v>0</v>
      </c>
      <c r="E138" s="33">
        <f t="shared" si="37"/>
        <v>0</v>
      </c>
      <c r="F138" s="93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</row>
    <row r="139" spans="1:20" s="6" customFormat="1" ht="16.5" hidden="1" x14ac:dyDescent="0.25">
      <c r="A139" s="63" t="s">
        <v>145</v>
      </c>
      <c r="B139" s="58" t="s">
        <v>146</v>
      </c>
      <c r="C139" s="51">
        <v>310</v>
      </c>
      <c r="D139" s="33">
        <f t="shared" si="36"/>
        <v>0</v>
      </c>
      <c r="E139" s="33">
        <f t="shared" si="37"/>
        <v>0</v>
      </c>
      <c r="F139" s="93"/>
      <c r="G139" s="38"/>
      <c r="H139" s="38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</row>
    <row r="140" spans="1:20" s="6" customFormat="1" ht="16.5" hidden="1" x14ac:dyDescent="0.25">
      <c r="A140" s="63" t="s">
        <v>147</v>
      </c>
      <c r="B140" s="58" t="s">
        <v>148</v>
      </c>
      <c r="C140" s="51">
        <v>310</v>
      </c>
      <c r="D140" s="33">
        <f t="shared" si="36"/>
        <v>0</v>
      </c>
      <c r="E140" s="33">
        <f t="shared" si="37"/>
        <v>0</v>
      </c>
      <c r="F140" s="93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</row>
    <row r="141" spans="1:20" s="6" customFormat="1" ht="33" hidden="1" x14ac:dyDescent="0.25">
      <c r="A141" s="63" t="s">
        <v>149</v>
      </c>
      <c r="B141" s="58" t="s">
        <v>150</v>
      </c>
      <c r="C141" s="51">
        <v>310</v>
      </c>
      <c r="D141" s="33">
        <f t="shared" si="36"/>
        <v>0</v>
      </c>
      <c r="E141" s="33">
        <f t="shared" si="37"/>
        <v>0</v>
      </c>
      <c r="F141" s="93"/>
      <c r="G141" s="38"/>
      <c r="H141" s="38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</row>
    <row r="142" spans="1:20" s="6" customFormat="1" ht="33" hidden="1" x14ac:dyDescent="0.25">
      <c r="A142" s="63" t="s">
        <v>151</v>
      </c>
      <c r="B142" s="58" t="s">
        <v>152</v>
      </c>
      <c r="C142" s="51">
        <v>310</v>
      </c>
      <c r="D142" s="33">
        <f t="shared" si="36"/>
        <v>0</v>
      </c>
      <c r="E142" s="33">
        <f t="shared" si="37"/>
        <v>0</v>
      </c>
      <c r="F142" s="93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</row>
    <row r="143" spans="1:20" s="6" customFormat="1" ht="33" hidden="1" x14ac:dyDescent="0.25">
      <c r="A143" s="63" t="s">
        <v>153</v>
      </c>
      <c r="B143" s="28" t="s">
        <v>154</v>
      </c>
      <c r="C143" s="51">
        <v>226</v>
      </c>
      <c r="D143" s="33">
        <f t="shared" si="36"/>
        <v>0</v>
      </c>
      <c r="E143" s="33">
        <f t="shared" si="37"/>
        <v>0</v>
      </c>
      <c r="F143" s="93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</row>
    <row r="144" spans="1:20" s="6" customFormat="1" ht="16.5" hidden="1" x14ac:dyDescent="0.25">
      <c r="A144" s="63" t="s">
        <v>155</v>
      </c>
      <c r="B144" s="28" t="s">
        <v>156</v>
      </c>
      <c r="C144" s="51">
        <v>226</v>
      </c>
      <c r="D144" s="33">
        <f t="shared" si="36"/>
        <v>0</v>
      </c>
      <c r="E144" s="33">
        <f t="shared" si="37"/>
        <v>0</v>
      </c>
      <c r="F144" s="93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</row>
    <row r="145" spans="1:20" s="6" customFormat="1" ht="16.5" hidden="1" x14ac:dyDescent="0.25">
      <c r="A145" s="63" t="s">
        <v>155</v>
      </c>
      <c r="B145" s="28" t="s">
        <v>157</v>
      </c>
      <c r="C145" s="51">
        <v>310</v>
      </c>
      <c r="D145" s="33">
        <f t="shared" si="36"/>
        <v>0</v>
      </c>
      <c r="E145" s="33">
        <f t="shared" si="37"/>
        <v>0</v>
      </c>
      <c r="F145" s="93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</row>
    <row r="146" spans="1:20" s="6" customFormat="1" ht="16.5" hidden="1" x14ac:dyDescent="0.25">
      <c r="A146" s="63" t="s">
        <v>155</v>
      </c>
      <c r="B146" s="28" t="s">
        <v>157</v>
      </c>
      <c r="C146" s="51">
        <v>340</v>
      </c>
      <c r="D146" s="33">
        <f t="shared" si="36"/>
        <v>0</v>
      </c>
      <c r="E146" s="33">
        <f t="shared" si="37"/>
        <v>0</v>
      </c>
      <c r="F146" s="93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</row>
    <row r="147" spans="1:20" s="6" customFormat="1" ht="16.5" hidden="1" x14ac:dyDescent="0.25">
      <c r="A147" s="63" t="s">
        <v>158</v>
      </c>
      <c r="B147" s="28" t="s">
        <v>159</v>
      </c>
      <c r="C147" s="51">
        <v>226</v>
      </c>
      <c r="D147" s="33">
        <f t="shared" si="36"/>
        <v>0</v>
      </c>
      <c r="E147" s="33">
        <f t="shared" si="37"/>
        <v>0</v>
      </c>
      <c r="F147" s="93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</row>
    <row r="148" spans="1:20" s="6" customFormat="1" ht="49.5" hidden="1" x14ac:dyDescent="0.25">
      <c r="A148" s="63" t="s">
        <v>160</v>
      </c>
      <c r="B148" s="28" t="s">
        <v>161</v>
      </c>
      <c r="C148" s="51">
        <v>226</v>
      </c>
      <c r="D148" s="33">
        <f t="shared" si="36"/>
        <v>0</v>
      </c>
      <c r="E148" s="33">
        <f t="shared" si="37"/>
        <v>0</v>
      </c>
      <c r="F148" s="93"/>
      <c r="G148" s="38"/>
      <c r="H148" s="38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</row>
    <row r="149" spans="1:20" s="6" customFormat="1" ht="33" hidden="1" x14ac:dyDescent="0.25">
      <c r="A149" s="63" t="s">
        <v>162</v>
      </c>
      <c r="B149" s="28" t="s">
        <v>163</v>
      </c>
      <c r="C149" s="51">
        <v>226</v>
      </c>
      <c r="D149" s="33">
        <f t="shared" si="36"/>
        <v>0</v>
      </c>
      <c r="E149" s="33">
        <f t="shared" si="37"/>
        <v>0</v>
      </c>
      <c r="F149" s="93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</row>
    <row r="150" spans="1:20" s="6" customFormat="1" ht="16.5" hidden="1" x14ac:dyDescent="0.25">
      <c r="A150" s="63" t="s">
        <v>164</v>
      </c>
      <c r="B150" s="28" t="s">
        <v>165</v>
      </c>
      <c r="C150" s="51">
        <v>310</v>
      </c>
      <c r="D150" s="33">
        <f t="shared" si="36"/>
        <v>0</v>
      </c>
      <c r="E150" s="33">
        <f t="shared" si="37"/>
        <v>0</v>
      </c>
      <c r="F150" s="93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</row>
    <row r="151" spans="1:20" s="6" customFormat="1" ht="33" hidden="1" x14ac:dyDescent="0.25">
      <c r="A151" s="63" t="s">
        <v>166</v>
      </c>
      <c r="B151" s="28" t="s">
        <v>167</v>
      </c>
      <c r="C151" s="51">
        <v>226</v>
      </c>
      <c r="D151" s="33">
        <f t="shared" si="36"/>
        <v>0</v>
      </c>
      <c r="E151" s="33">
        <f t="shared" si="37"/>
        <v>0</v>
      </c>
      <c r="F151" s="93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</row>
    <row r="152" spans="1:20" s="6" customFormat="1" ht="33" hidden="1" x14ac:dyDescent="0.25">
      <c r="A152" s="63" t="s">
        <v>166</v>
      </c>
      <c r="B152" s="28" t="s">
        <v>167</v>
      </c>
      <c r="C152" s="51">
        <v>310</v>
      </c>
      <c r="D152" s="33">
        <f t="shared" si="36"/>
        <v>0</v>
      </c>
      <c r="E152" s="33">
        <f t="shared" si="37"/>
        <v>0</v>
      </c>
      <c r="F152" s="93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</row>
    <row r="153" spans="1:20" s="6" customFormat="1" ht="33" hidden="1" x14ac:dyDescent="0.25">
      <c r="A153" s="63" t="s">
        <v>168</v>
      </c>
      <c r="B153" s="28" t="s">
        <v>169</v>
      </c>
      <c r="C153" s="51">
        <v>226</v>
      </c>
      <c r="D153" s="33">
        <f t="shared" si="36"/>
        <v>0</v>
      </c>
      <c r="E153" s="33">
        <f t="shared" si="37"/>
        <v>0</v>
      </c>
      <c r="F153" s="93"/>
      <c r="G153" s="38"/>
      <c r="H153" s="38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</row>
    <row r="154" spans="1:20" s="6" customFormat="1" ht="33" hidden="1" x14ac:dyDescent="0.25">
      <c r="A154" s="63" t="s">
        <v>168</v>
      </c>
      <c r="B154" s="28" t="s">
        <v>169</v>
      </c>
      <c r="C154" s="51">
        <v>310</v>
      </c>
      <c r="D154" s="33">
        <f t="shared" si="36"/>
        <v>0</v>
      </c>
      <c r="E154" s="33">
        <f t="shared" si="37"/>
        <v>0</v>
      </c>
      <c r="F154" s="93"/>
      <c r="G154" s="38"/>
      <c r="H154" s="38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</row>
    <row r="155" spans="1:20" s="6" customFormat="1" ht="16.5" hidden="1" x14ac:dyDescent="0.25">
      <c r="A155" s="63" t="s">
        <v>170</v>
      </c>
      <c r="B155" s="28" t="s">
        <v>171</v>
      </c>
      <c r="C155" s="51">
        <v>226</v>
      </c>
      <c r="D155" s="33">
        <f t="shared" si="36"/>
        <v>0</v>
      </c>
      <c r="E155" s="33">
        <f t="shared" si="37"/>
        <v>0</v>
      </c>
      <c r="F155" s="93"/>
      <c r="G155" s="38"/>
      <c r="H155" s="38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</row>
    <row r="156" spans="1:20" s="6" customFormat="1" ht="16.5" hidden="1" x14ac:dyDescent="0.25">
      <c r="A156" s="63" t="s">
        <v>170</v>
      </c>
      <c r="B156" s="28" t="s">
        <v>171</v>
      </c>
      <c r="C156" s="51">
        <v>310</v>
      </c>
      <c r="D156" s="33">
        <f t="shared" si="36"/>
        <v>0</v>
      </c>
      <c r="E156" s="33">
        <f t="shared" si="37"/>
        <v>0</v>
      </c>
      <c r="F156" s="93"/>
      <c r="G156" s="38"/>
      <c r="H156" s="38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</row>
    <row r="157" spans="1:20" s="6" customFormat="1" ht="16.5" hidden="1" x14ac:dyDescent="0.25">
      <c r="A157" s="63" t="s">
        <v>172</v>
      </c>
      <c r="B157" s="28" t="s">
        <v>173</v>
      </c>
      <c r="C157" s="51">
        <v>226</v>
      </c>
      <c r="D157" s="33">
        <f t="shared" si="36"/>
        <v>0</v>
      </c>
      <c r="E157" s="33">
        <f t="shared" si="37"/>
        <v>0</v>
      </c>
      <c r="F157" s="93"/>
      <c r="G157" s="38"/>
      <c r="H157" s="38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</row>
    <row r="158" spans="1:20" s="6" customFormat="1" ht="33" hidden="1" x14ac:dyDescent="0.25">
      <c r="A158" s="63" t="s">
        <v>172</v>
      </c>
      <c r="B158" s="28" t="s">
        <v>174</v>
      </c>
      <c r="C158" s="51">
        <v>310</v>
      </c>
      <c r="D158" s="33">
        <f t="shared" si="36"/>
        <v>0</v>
      </c>
      <c r="E158" s="33">
        <f t="shared" si="37"/>
        <v>0</v>
      </c>
      <c r="F158" s="93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</row>
    <row r="159" spans="1:20" s="6" customFormat="1" ht="16.5" hidden="1" x14ac:dyDescent="0.25">
      <c r="A159" s="63" t="s">
        <v>175</v>
      </c>
      <c r="B159" s="28" t="s">
        <v>176</v>
      </c>
      <c r="C159" s="51">
        <v>226</v>
      </c>
      <c r="D159" s="33">
        <f t="shared" si="36"/>
        <v>0</v>
      </c>
      <c r="E159" s="33">
        <f t="shared" si="37"/>
        <v>0</v>
      </c>
      <c r="F159" s="93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</row>
    <row r="160" spans="1:20" s="6" customFormat="1" ht="16.5" hidden="1" x14ac:dyDescent="0.25">
      <c r="A160" s="63" t="s">
        <v>177</v>
      </c>
      <c r="B160" s="28" t="s">
        <v>178</v>
      </c>
      <c r="C160" s="51">
        <v>310</v>
      </c>
      <c r="D160" s="33">
        <f t="shared" si="36"/>
        <v>0</v>
      </c>
      <c r="E160" s="33">
        <f t="shared" si="37"/>
        <v>0</v>
      </c>
      <c r="F160" s="93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</row>
    <row r="161" spans="1:20" s="6" customFormat="1" ht="33" x14ac:dyDescent="0.25">
      <c r="A161" s="63" t="s">
        <v>179</v>
      </c>
      <c r="B161" s="28" t="s">
        <v>180</v>
      </c>
      <c r="C161" s="51">
        <v>226</v>
      </c>
      <c r="D161" s="33">
        <f t="shared" si="36"/>
        <v>0</v>
      </c>
      <c r="E161" s="33">
        <f t="shared" si="37"/>
        <v>0</v>
      </c>
      <c r="F161" s="93"/>
      <c r="G161" s="38">
        <v>0</v>
      </c>
      <c r="H161" s="38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</row>
    <row r="162" spans="1:20" s="6" customFormat="1" ht="33" hidden="1" x14ac:dyDescent="0.25">
      <c r="A162" s="63" t="s">
        <v>181</v>
      </c>
      <c r="B162" s="28" t="s">
        <v>182</v>
      </c>
      <c r="C162" s="51">
        <v>226</v>
      </c>
      <c r="D162" s="33">
        <f t="shared" si="36"/>
        <v>0</v>
      </c>
      <c r="E162" s="33">
        <f t="shared" si="37"/>
        <v>0</v>
      </c>
      <c r="F162" s="93" t="e">
        <f t="shared" ref="F162:F224" si="47">SUM(E162/D162*100)</f>
        <v>#DIV/0!</v>
      </c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</row>
    <row r="163" spans="1:20" s="6" customFormat="1" ht="16.5" hidden="1" x14ac:dyDescent="0.25">
      <c r="A163" s="63" t="s">
        <v>183</v>
      </c>
      <c r="B163" s="28" t="s">
        <v>184</v>
      </c>
      <c r="C163" s="51">
        <v>310</v>
      </c>
      <c r="D163" s="33">
        <f t="shared" si="36"/>
        <v>0</v>
      </c>
      <c r="E163" s="33">
        <f t="shared" si="37"/>
        <v>0</v>
      </c>
      <c r="F163" s="93" t="e">
        <f t="shared" si="47"/>
        <v>#DIV/0!</v>
      </c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</row>
    <row r="164" spans="1:20" s="6" customFormat="1" ht="16.5" hidden="1" x14ac:dyDescent="0.25">
      <c r="A164" s="63" t="s">
        <v>185</v>
      </c>
      <c r="B164" s="28" t="s">
        <v>186</v>
      </c>
      <c r="C164" s="51">
        <v>310</v>
      </c>
      <c r="D164" s="33">
        <f t="shared" si="36"/>
        <v>0</v>
      </c>
      <c r="E164" s="33">
        <f t="shared" si="37"/>
        <v>0</v>
      </c>
      <c r="F164" s="93" t="e">
        <f t="shared" si="47"/>
        <v>#DIV/0!</v>
      </c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</row>
    <row r="165" spans="1:20" s="20" customFormat="1" ht="34.5" hidden="1" x14ac:dyDescent="0.25">
      <c r="A165" s="59" t="s">
        <v>29</v>
      </c>
      <c r="B165" s="48" t="s">
        <v>44</v>
      </c>
      <c r="C165" s="54"/>
      <c r="D165" s="33">
        <f t="shared" si="36"/>
        <v>0</v>
      </c>
      <c r="E165" s="33">
        <f t="shared" si="37"/>
        <v>0</v>
      </c>
      <c r="F165" s="93" t="e">
        <f t="shared" si="47"/>
        <v>#DIV/0!</v>
      </c>
      <c r="G165" s="25">
        <f t="shared" ref="G165:T165" si="48">SUM(G166)</f>
        <v>0</v>
      </c>
      <c r="H165" s="25"/>
      <c r="I165" s="25">
        <f t="shared" si="48"/>
        <v>0</v>
      </c>
      <c r="J165" s="25"/>
      <c r="K165" s="25">
        <f t="shared" si="48"/>
        <v>0</v>
      </c>
      <c r="L165" s="25"/>
      <c r="M165" s="25">
        <f t="shared" si="48"/>
        <v>0</v>
      </c>
      <c r="N165" s="25"/>
      <c r="O165" s="25">
        <f t="shared" si="48"/>
        <v>0</v>
      </c>
      <c r="P165" s="25"/>
      <c r="Q165" s="25"/>
      <c r="R165" s="25"/>
      <c r="S165" s="25">
        <f t="shared" si="48"/>
        <v>0</v>
      </c>
      <c r="T165" s="25">
        <f t="shared" si="48"/>
        <v>0</v>
      </c>
    </row>
    <row r="166" spans="1:20" s="22" customFormat="1" ht="33" hidden="1" x14ac:dyDescent="0.25">
      <c r="A166" s="52" t="s">
        <v>187</v>
      </c>
      <c r="B166" s="28" t="s">
        <v>188</v>
      </c>
      <c r="C166" s="55">
        <v>225</v>
      </c>
      <c r="D166" s="33">
        <f t="shared" si="36"/>
        <v>0</v>
      </c>
      <c r="E166" s="33">
        <f t="shared" si="37"/>
        <v>0</v>
      </c>
      <c r="F166" s="93" t="e">
        <f t="shared" si="47"/>
        <v>#DIV/0!</v>
      </c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</row>
    <row r="167" spans="1:20" s="22" customFormat="1" ht="16.5" hidden="1" x14ac:dyDescent="0.25">
      <c r="A167" s="52"/>
      <c r="B167" s="28"/>
      <c r="C167" s="55"/>
      <c r="D167" s="33">
        <f t="shared" si="36"/>
        <v>0</v>
      </c>
      <c r="E167" s="33">
        <f t="shared" si="37"/>
        <v>0</v>
      </c>
      <c r="F167" s="93" t="e">
        <f t="shared" si="47"/>
        <v>#DIV/0!</v>
      </c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</row>
    <row r="168" spans="1:20" s="30" customFormat="1" ht="51.75" hidden="1" x14ac:dyDescent="0.25">
      <c r="A168" s="53" t="s">
        <v>31</v>
      </c>
      <c r="B168" s="48" t="s">
        <v>189</v>
      </c>
      <c r="C168" s="70"/>
      <c r="D168" s="33">
        <f t="shared" si="36"/>
        <v>0</v>
      </c>
      <c r="E168" s="33">
        <f t="shared" si="37"/>
        <v>0</v>
      </c>
      <c r="F168" s="93" t="e">
        <f t="shared" si="47"/>
        <v>#DIV/0!</v>
      </c>
      <c r="G168" s="25">
        <f t="shared" ref="G168:S168" si="49">SUM(G169:G173)</f>
        <v>0</v>
      </c>
      <c r="H168" s="25"/>
      <c r="I168" s="25">
        <f t="shared" si="49"/>
        <v>0</v>
      </c>
      <c r="J168" s="25"/>
      <c r="K168" s="23">
        <f t="shared" si="49"/>
        <v>0</v>
      </c>
      <c r="L168" s="23"/>
      <c r="M168" s="23">
        <f t="shared" si="49"/>
        <v>0</v>
      </c>
      <c r="N168" s="23"/>
      <c r="O168" s="23">
        <f t="shared" si="49"/>
        <v>0</v>
      </c>
      <c r="P168" s="23"/>
      <c r="Q168" s="23"/>
      <c r="R168" s="23"/>
      <c r="S168" s="23">
        <f t="shared" si="49"/>
        <v>0</v>
      </c>
      <c r="T168" s="23">
        <f t="shared" ref="T168" si="50">SUM(T169:T173)</f>
        <v>0</v>
      </c>
    </row>
    <row r="169" spans="1:20" s="22" customFormat="1" ht="33" hidden="1" x14ac:dyDescent="0.25">
      <c r="A169" s="52" t="s">
        <v>190</v>
      </c>
      <c r="B169" s="28" t="s">
        <v>191</v>
      </c>
      <c r="C169" s="55"/>
      <c r="D169" s="33">
        <f t="shared" si="36"/>
        <v>0</v>
      </c>
      <c r="E169" s="33">
        <f t="shared" si="37"/>
        <v>0</v>
      </c>
      <c r="F169" s="93" t="e">
        <f t="shared" si="47"/>
        <v>#DIV/0!</v>
      </c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</row>
    <row r="170" spans="1:20" s="22" customFormat="1" ht="49.5" hidden="1" x14ac:dyDescent="0.25">
      <c r="A170" s="52" t="s">
        <v>192</v>
      </c>
      <c r="B170" s="28" t="s">
        <v>193</v>
      </c>
      <c r="C170" s="55">
        <v>226</v>
      </c>
      <c r="D170" s="33">
        <f t="shared" si="36"/>
        <v>0</v>
      </c>
      <c r="E170" s="33">
        <f t="shared" si="37"/>
        <v>0</v>
      </c>
      <c r="F170" s="93" t="e">
        <f t="shared" si="47"/>
        <v>#DIV/0!</v>
      </c>
      <c r="G170" s="38"/>
      <c r="H170" s="38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</row>
    <row r="171" spans="1:20" s="22" customFormat="1" ht="49.5" hidden="1" x14ac:dyDescent="0.25">
      <c r="A171" s="52" t="s">
        <v>192</v>
      </c>
      <c r="B171" s="28" t="s">
        <v>193</v>
      </c>
      <c r="C171" s="55">
        <v>310</v>
      </c>
      <c r="D171" s="33">
        <f t="shared" si="36"/>
        <v>0</v>
      </c>
      <c r="E171" s="33">
        <f t="shared" si="37"/>
        <v>0</v>
      </c>
      <c r="F171" s="93" t="e">
        <f t="shared" si="47"/>
        <v>#DIV/0!</v>
      </c>
      <c r="G171" s="38"/>
      <c r="H171" s="38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</row>
    <row r="172" spans="1:20" s="22" customFormat="1" ht="49.5" hidden="1" x14ac:dyDescent="0.25">
      <c r="A172" s="52" t="s">
        <v>192</v>
      </c>
      <c r="B172" s="28" t="s">
        <v>193</v>
      </c>
      <c r="C172" s="55">
        <v>340</v>
      </c>
      <c r="D172" s="33">
        <f t="shared" si="36"/>
        <v>0</v>
      </c>
      <c r="E172" s="33">
        <f t="shared" si="37"/>
        <v>0</v>
      </c>
      <c r="F172" s="93" t="e">
        <f t="shared" si="47"/>
        <v>#DIV/0!</v>
      </c>
      <c r="G172" s="38"/>
      <c r="H172" s="38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</row>
    <row r="173" spans="1:20" s="22" customFormat="1" ht="33" hidden="1" x14ac:dyDescent="0.25">
      <c r="A173" s="52" t="s">
        <v>194</v>
      </c>
      <c r="B173" s="28" t="s">
        <v>195</v>
      </c>
      <c r="C173" s="55"/>
      <c r="D173" s="33">
        <f t="shared" si="36"/>
        <v>0</v>
      </c>
      <c r="E173" s="33">
        <f t="shared" si="37"/>
        <v>0</v>
      </c>
      <c r="F173" s="93" t="e">
        <f t="shared" si="47"/>
        <v>#DIV/0!</v>
      </c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</row>
    <row r="174" spans="1:20" s="36" customFormat="1" ht="34.5" x14ac:dyDescent="0.25">
      <c r="A174" s="53" t="s">
        <v>33</v>
      </c>
      <c r="B174" s="48" t="s">
        <v>34</v>
      </c>
      <c r="C174" s="71"/>
      <c r="D174" s="25">
        <f t="shared" ref="D174:T174" si="51">SUM(D175:D179)</f>
        <v>50400</v>
      </c>
      <c r="E174" s="25">
        <f t="shared" si="51"/>
        <v>0</v>
      </c>
      <c r="F174" s="93">
        <f t="shared" si="47"/>
        <v>0</v>
      </c>
      <c r="G174" s="25">
        <f t="shared" si="51"/>
        <v>50400</v>
      </c>
      <c r="H174" s="25">
        <f t="shared" si="51"/>
        <v>0</v>
      </c>
      <c r="I174" s="25">
        <f t="shared" si="51"/>
        <v>0</v>
      </c>
      <c r="J174" s="25">
        <f t="shared" si="51"/>
        <v>0</v>
      </c>
      <c r="K174" s="25">
        <f t="shared" si="51"/>
        <v>0</v>
      </c>
      <c r="L174" s="25">
        <f t="shared" si="51"/>
        <v>0</v>
      </c>
      <c r="M174" s="25">
        <f t="shared" si="51"/>
        <v>0</v>
      </c>
      <c r="N174" s="25">
        <f t="shared" si="51"/>
        <v>0</v>
      </c>
      <c r="O174" s="25">
        <f t="shared" si="51"/>
        <v>0</v>
      </c>
      <c r="P174" s="25">
        <f t="shared" si="51"/>
        <v>0</v>
      </c>
      <c r="Q174" s="25">
        <f t="shared" si="51"/>
        <v>0</v>
      </c>
      <c r="R174" s="25">
        <f t="shared" si="51"/>
        <v>0</v>
      </c>
      <c r="S174" s="25">
        <f t="shared" si="51"/>
        <v>0</v>
      </c>
      <c r="T174" s="25">
        <f t="shared" si="51"/>
        <v>0</v>
      </c>
    </row>
    <row r="175" spans="1:20" s="22" customFormat="1" ht="16.5" hidden="1" x14ac:dyDescent="0.25">
      <c r="A175" s="52" t="s">
        <v>196</v>
      </c>
      <c r="B175" s="28" t="s">
        <v>197</v>
      </c>
      <c r="C175" s="55"/>
      <c r="D175" s="33">
        <f t="shared" si="36"/>
        <v>0</v>
      </c>
      <c r="E175" s="33">
        <f t="shared" si="37"/>
        <v>0</v>
      </c>
      <c r="F175" s="93" t="e">
        <f t="shared" si="47"/>
        <v>#DIV/0!</v>
      </c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</row>
    <row r="176" spans="1:20" s="22" customFormat="1" ht="16.5" hidden="1" x14ac:dyDescent="0.25">
      <c r="A176" s="52"/>
      <c r="B176" s="28" t="s">
        <v>47</v>
      </c>
      <c r="C176" s="55">
        <v>211</v>
      </c>
      <c r="D176" s="33">
        <f t="shared" si="36"/>
        <v>0</v>
      </c>
      <c r="E176" s="33">
        <f t="shared" si="37"/>
        <v>0</v>
      </c>
      <c r="F176" s="93" t="e">
        <f t="shared" si="47"/>
        <v>#DIV/0!</v>
      </c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</row>
    <row r="177" spans="1:20" s="22" customFormat="1" ht="16.5" hidden="1" x14ac:dyDescent="0.25">
      <c r="A177" s="52"/>
      <c r="B177" s="28" t="s">
        <v>198</v>
      </c>
      <c r="C177" s="55">
        <v>213</v>
      </c>
      <c r="D177" s="33">
        <f t="shared" si="36"/>
        <v>0</v>
      </c>
      <c r="E177" s="33">
        <f t="shared" si="37"/>
        <v>0</v>
      </c>
      <c r="F177" s="93" t="e">
        <f t="shared" si="47"/>
        <v>#DIV/0!</v>
      </c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</row>
    <row r="178" spans="1:20" s="22" customFormat="1" ht="16.5" hidden="1" x14ac:dyDescent="0.25">
      <c r="A178" s="52" t="s">
        <v>199</v>
      </c>
      <c r="B178" s="28" t="s">
        <v>200</v>
      </c>
      <c r="C178" s="55">
        <v>310</v>
      </c>
      <c r="D178" s="33">
        <f t="shared" si="36"/>
        <v>0</v>
      </c>
      <c r="E178" s="33">
        <f t="shared" si="37"/>
        <v>0</v>
      </c>
      <c r="F178" s="93" t="e">
        <f t="shared" si="47"/>
        <v>#DIV/0!</v>
      </c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</row>
    <row r="179" spans="1:20" s="22" customFormat="1" ht="16.5" x14ac:dyDescent="0.25">
      <c r="A179" s="52" t="s">
        <v>201</v>
      </c>
      <c r="B179" s="28" t="s">
        <v>202</v>
      </c>
      <c r="C179" s="55">
        <v>340</v>
      </c>
      <c r="D179" s="33">
        <f t="shared" si="36"/>
        <v>50400</v>
      </c>
      <c r="E179" s="33">
        <f t="shared" si="37"/>
        <v>0</v>
      </c>
      <c r="F179" s="93">
        <f t="shared" si="47"/>
        <v>0</v>
      </c>
      <c r="G179" s="38">
        <v>50400</v>
      </c>
      <c r="H179" s="38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</row>
    <row r="180" spans="1:20" s="37" customFormat="1" ht="51.75" x14ac:dyDescent="0.25">
      <c r="A180" s="47" t="s">
        <v>35</v>
      </c>
      <c r="B180" s="62" t="s">
        <v>36</v>
      </c>
      <c r="C180" s="72"/>
      <c r="D180" s="33">
        <f t="shared" si="36"/>
        <v>0</v>
      </c>
      <c r="E180" s="33">
        <f t="shared" si="37"/>
        <v>0</v>
      </c>
      <c r="F180" s="93"/>
      <c r="G180" s="34">
        <f t="shared" ref="G180:T180" si="52">SUM(G181:G185)</f>
        <v>0</v>
      </c>
      <c r="H180" s="34">
        <f t="shared" si="52"/>
        <v>0</v>
      </c>
      <c r="I180" s="34">
        <f t="shared" si="52"/>
        <v>0</v>
      </c>
      <c r="J180" s="34">
        <f t="shared" si="52"/>
        <v>0</v>
      </c>
      <c r="K180" s="34">
        <f t="shared" si="52"/>
        <v>0</v>
      </c>
      <c r="L180" s="34">
        <f t="shared" si="52"/>
        <v>0</v>
      </c>
      <c r="M180" s="34">
        <f t="shared" si="52"/>
        <v>0</v>
      </c>
      <c r="N180" s="34">
        <f t="shared" si="52"/>
        <v>0</v>
      </c>
      <c r="O180" s="34">
        <f t="shared" si="52"/>
        <v>0</v>
      </c>
      <c r="P180" s="34">
        <f t="shared" si="52"/>
        <v>0</v>
      </c>
      <c r="Q180" s="34">
        <f t="shared" si="52"/>
        <v>0</v>
      </c>
      <c r="R180" s="34">
        <f t="shared" si="52"/>
        <v>0</v>
      </c>
      <c r="S180" s="34">
        <f t="shared" si="52"/>
        <v>0</v>
      </c>
      <c r="T180" s="34">
        <f t="shared" si="52"/>
        <v>0</v>
      </c>
    </row>
    <row r="181" spans="1:20" s="6" customFormat="1" ht="33" hidden="1" x14ac:dyDescent="0.25">
      <c r="A181" s="73" t="s">
        <v>203</v>
      </c>
      <c r="B181" s="64" t="s">
        <v>204</v>
      </c>
      <c r="C181" s="69">
        <v>222</v>
      </c>
      <c r="D181" s="33">
        <f t="shared" si="36"/>
        <v>0</v>
      </c>
      <c r="E181" s="33">
        <f t="shared" si="37"/>
        <v>0</v>
      </c>
      <c r="F181" s="93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</row>
    <row r="182" spans="1:20" s="6" customFormat="1" ht="33" hidden="1" x14ac:dyDescent="0.25">
      <c r="A182" s="73" t="s">
        <v>203</v>
      </c>
      <c r="B182" s="64" t="s">
        <v>204</v>
      </c>
      <c r="C182" s="69">
        <v>226</v>
      </c>
      <c r="D182" s="33">
        <f t="shared" si="36"/>
        <v>0</v>
      </c>
      <c r="E182" s="33">
        <f t="shared" si="37"/>
        <v>0</v>
      </c>
      <c r="F182" s="93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</row>
    <row r="183" spans="1:20" s="6" customFormat="1" ht="33" hidden="1" x14ac:dyDescent="0.25">
      <c r="A183" s="73" t="s">
        <v>203</v>
      </c>
      <c r="B183" s="64" t="s">
        <v>204</v>
      </c>
      <c r="C183" s="69">
        <v>290</v>
      </c>
      <c r="D183" s="33">
        <f t="shared" ref="D183:D246" si="53">SUM(G183+I183+K183+M183+O183+Q183+S183)</f>
        <v>0</v>
      </c>
      <c r="E183" s="33">
        <f t="shared" ref="E183:E246" si="54">SUM(H183+J183+L183+N183+P183+R183+T183)</f>
        <v>0</v>
      </c>
      <c r="F183" s="93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</row>
    <row r="184" spans="1:20" s="6" customFormat="1" ht="33" hidden="1" x14ac:dyDescent="0.25">
      <c r="A184" s="73" t="s">
        <v>203</v>
      </c>
      <c r="B184" s="64" t="s">
        <v>204</v>
      </c>
      <c r="C184" s="69">
        <v>310</v>
      </c>
      <c r="D184" s="33">
        <f t="shared" si="53"/>
        <v>0</v>
      </c>
      <c r="E184" s="33">
        <f t="shared" si="54"/>
        <v>0</v>
      </c>
      <c r="F184" s="93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</row>
    <row r="185" spans="1:20" s="6" customFormat="1" ht="33" hidden="1" x14ac:dyDescent="0.25">
      <c r="A185" s="73" t="s">
        <v>203</v>
      </c>
      <c r="B185" s="64" t="s">
        <v>204</v>
      </c>
      <c r="C185" s="69">
        <v>340</v>
      </c>
      <c r="D185" s="33">
        <f t="shared" si="53"/>
        <v>0</v>
      </c>
      <c r="E185" s="33">
        <f t="shared" si="54"/>
        <v>0</v>
      </c>
      <c r="F185" s="93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</row>
    <row r="186" spans="1:20" s="32" customFormat="1" ht="17.25" x14ac:dyDescent="0.25">
      <c r="A186" s="74" t="s">
        <v>205</v>
      </c>
      <c r="B186" s="62" t="s">
        <v>37</v>
      </c>
      <c r="C186" s="49"/>
      <c r="D186" s="33">
        <f t="shared" si="53"/>
        <v>0</v>
      </c>
      <c r="E186" s="33">
        <f t="shared" si="54"/>
        <v>0</v>
      </c>
      <c r="F186" s="93"/>
      <c r="G186" s="34">
        <v>0</v>
      </c>
      <c r="H186" s="34"/>
      <c r="I186" s="34">
        <v>0</v>
      </c>
      <c r="J186" s="34"/>
      <c r="K186" s="34">
        <v>0</v>
      </c>
      <c r="L186" s="34"/>
      <c r="M186" s="34">
        <v>0</v>
      </c>
      <c r="N186" s="34"/>
      <c r="O186" s="34"/>
      <c r="P186" s="34"/>
      <c r="Q186" s="34"/>
      <c r="R186" s="34"/>
      <c r="S186" s="34">
        <v>0</v>
      </c>
      <c r="T186" s="34"/>
    </row>
    <row r="187" spans="1:20" s="18" customFormat="1" ht="17.25" x14ac:dyDescent="0.25">
      <c r="A187" s="61" t="s">
        <v>206</v>
      </c>
      <c r="B187" s="62" t="s">
        <v>38</v>
      </c>
      <c r="C187" s="49"/>
      <c r="D187" s="33">
        <f t="shared" si="53"/>
        <v>1115680.52</v>
      </c>
      <c r="E187" s="33">
        <f t="shared" si="54"/>
        <v>384444.05</v>
      </c>
      <c r="F187" s="93">
        <f t="shared" si="47"/>
        <v>34.458256024762356</v>
      </c>
      <c r="G187" s="34">
        <f t="shared" ref="G187:R187" si="55">SUM(G188+G189+G190+G191+G192+G193+G197+G198+G199+G200+G201+G202+G203+G205)+G204</f>
        <v>0</v>
      </c>
      <c r="H187" s="34">
        <f t="shared" si="55"/>
        <v>0</v>
      </c>
      <c r="I187" s="34">
        <f t="shared" si="55"/>
        <v>0</v>
      </c>
      <c r="J187" s="34">
        <f t="shared" si="55"/>
        <v>0</v>
      </c>
      <c r="K187" s="34">
        <f t="shared" si="55"/>
        <v>0</v>
      </c>
      <c r="L187" s="34">
        <f t="shared" si="55"/>
        <v>0</v>
      </c>
      <c r="M187" s="34">
        <f t="shared" si="55"/>
        <v>0</v>
      </c>
      <c r="N187" s="34">
        <f t="shared" si="55"/>
        <v>0</v>
      </c>
      <c r="O187" s="34">
        <f t="shared" si="55"/>
        <v>0</v>
      </c>
      <c r="P187" s="34">
        <f t="shared" si="55"/>
        <v>0</v>
      </c>
      <c r="Q187" s="34">
        <f t="shared" si="55"/>
        <v>0</v>
      </c>
      <c r="R187" s="34">
        <f t="shared" si="55"/>
        <v>0</v>
      </c>
      <c r="S187" s="34">
        <f>SUM(S188+S189+S190+S191+S192+S193+S197+S198+S199+S200+S201+S202+S203+S205)+S204</f>
        <v>1115680.52</v>
      </c>
      <c r="T187" s="34">
        <f>SUM(T188+T189+T190+T191+T192+T193+T197+T198+T199+T200+T201+T202+T203+T205)+T204</f>
        <v>384444.05</v>
      </c>
    </row>
    <row r="188" spans="1:20" s="6" customFormat="1" ht="16.5" x14ac:dyDescent="0.25">
      <c r="A188" s="63" t="s">
        <v>207</v>
      </c>
      <c r="B188" s="28" t="s">
        <v>47</v>
      </c>
      <c r="C188" s="51">
        <v>211</v>
      </c>
      <c r="D188" s="33">
        <f t="shared" si="53"/>
        <v>7500</v>
      </c>
      <c r="E188" s="33">
        <f t="shared" si="54"/>
        <v>0</v>
      </c>
      <c r="F188" s="93">
        <f t="shared" si="47"/>
        <v>0</v>
      </c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33">
        <v>7500</v>
      </c>
      <c r="T188" s="80"/>
    </row>
    <row r="189" spans="1:20" s="6" customFormat="1" ht="16.5" x14ac:dyDescent="0.25">
      <c r="A189" s="63" t="s">
        <v>208</v>
      </c>
      <c r="B189" s="28" t="s">
        <v>49</v>
      </c>
      <c r="C189" s="51">
        <v>212</v>
      </c>
      <c r="D189" s="33">
        <f t="shared" si="53"/>
        <v>0</v>
      </c>
      <c r="E189" s="33">
        <f t="shared" si="54"/>
        <v>3260</v>
      </c>
      <c r="F189" s="93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33"/>
      <c r="T189" s="80">
        <v>3260</v>
      </c>
    </row>
    <row r="190" spans="1:20" s="6" customFormat="1" ht="16.5" x14ac:dyDescent="0.25">
      <c r="A190" s="63" t="s">
        <v>209</v>
      </c>
      <c r="B190" s="28" t="s">
        <v>51</v>
      </c>
      <c r="C190" s="51">
        <v>213</v>
      </c>
      <c r="D190" s="33">
        <f t="shared" si="53"/>
        <v>2300</v>
      </c>
      <c r="E190" s="33">
        <f t="shared" si="54"/>
        <v>0</v>
      </c>
      <c r="F190" s="93">
        <f t="shared" si="47"/>
        <v>0</v>
      </c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33">
        <v>2300</v>
      </c>
      <c r="T190" s="80"/>
    </row>
    <row r="191" spans="1:20" s="6" customFormat="1" ht="16.5" x14ac:dyDescent="0.25">
      <c r="A191" s="63" t="s">
        <v>210</v>
      </c>
      <c r="B191" s="28" t="s">
        <v>53</v>
      </c>
      <c r="C191" s="51">
        <v>221</v>
      </c>
      <c r="D191" s="33">
        <f t="shared" si="53"/>
        <v>3600</v>
      </c>
      <c r="E191" s="33">
        <f t="shared" si="54"/>
        <v>3018.96</v>
      </c>
      <c r="F191" s="93">
        <f t="shared" si="47"/>
        <v>83.86</v>
      </c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33">
        <v>3600</v>
      </c>
      <c r="T191" s="80">
        <v>3018.96</v>
      </c>
    </row>
    <row r="192" spans="1:20" s="6" customFormat="1" ht="16.5" x14ac:dyDescent="0.25">
      <c r="A192" s="63" t="s">
        <v>211</v>
      </c>
      <c r="B192" s="28" t="s">
        <v>55</v>
      </c>
      <c r="C192" s="51">
        <v>222</v>
      </c>
      <c r="D192" s="33">
        <f t="shared" si="53"/>
        <v>14900</v>
      </c>
      <c r="E192" s="33">
        <f t="shared" si="54"/>
        <v>34257.199999999997</v>
      </c>
      <c r="F192" s="93">
        <f t="shared" si="47"/>
        <v>229.9140939597315</v>
      </c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33">
        <v>14900</v>
      </c>
      <c r="T192" s="80">
        <v>34257.199999999997</v>
      </c>
    </row>
    <row r="193" spans="1:20" s="6" customFormat="1" ht="16.5" x14ac:dyDescent="0.25">
      <c r="A193" s="63" t="s">
        <v>212</v>
      </c>
      <c r="B193" s="28" t="s">
        <v>57</v>
      </c>
      <c r="C193" s="51">
        <v>223</v>
      </c>
      <c r="D193" s="33">
        <f t="shared" si="53"/>
        <v>0</v>
      </c>
      <c r="E193" s="33">
        <f t="shared" si="54"/>
        <v>0</v>
      </c>
      <c r="F193" s="93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33"/>
      <c r="T193" s="80"/>
    </row>
    <row r="194" spans="1:20" s="6" customFormat="1" ht="16.5" hidden="1" x14ac:dyDescent="0.25">
      <c r="A194" s="63"/>
      <c r="B194" s="58" t="s">
        <v>213</v>
      </c>
      <c r="C194" s="51">
        <v>223</v>
      </c>
      <c r="D194" s="33">
        <f t="shared" si="53"/>
        <v>0</v>
      </c>
      <c r="E194" s="33">
        <f t="shared" si="54"/>
        <v>0</v>
      </c>
      <c r="F194" s="93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33"/>
      <c r="T194" s="80"/>
    </row>
    <row r="195" spans="1:20" s="6" customFormat="1" ht="16.5" hidden="1" x14ac:dyDescent="0.25">
      <c r="A195" s="63"/>
      <c r="B195" s="58" t="s">
        <v>214</v>
      </c>
      <c r="C195" s="51">
        <v>223</v>
      </c>
      <c r="D195" s="33">
        <f t="shared" si="53"/>
        <v>0</v>
      </c>
      <c r="E195" s="33">
        <f t="shared" si="54"/>
        <v>0</v>
      </c>
      <c r="F195" s="93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33"/>
      <c r="T195" s="80"/>
    </row>
    <row r="196" spans="1:20" s="6" customFormat="1" ht="16.5" hidden="1" x14ac:dyDescent="0.25">
      <c r="A196" s="63"/>
      <c r="B196" s="58" t="s">
        <v>215</v>
      </c>
      <c r="C196" s="51">
        <v>223</v>
      </c>
      <c r="D196" s="33">
        <f t="shared" si="53"/>
        <v>0</v>
      </c>
      <c r="E196" s="33">
        <f t="shared" si="54"/>
        <v>0</v>
      </c>
      <c r="F196" s="93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33"/>
      <c r="T196" s="80"/>
    </row>
    <row r="197" spans="1:20" s="6" customFormat="1" ht="16.5" x14ac:dyDescent="0.25">
      <c r="A197" s="63" t="s">
        <v>216</v>
      </c>
      <c r="B197" s="58" t="s">
        <v>217</v>
      </c>
      <c r="C197" s="51">
        <v>224</v>
      </c>
      <c r="D197" s="33">
        <f t="shared" si="53"/>
        <v>0</v>
      </c>
      <c r="E197" s="33">
        <f t="shared" si="54"/>
        <v>0</v>
      </c>
      <c r="F197" s="93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33"/>
      <c r="T197" s="80"/>
    </row>
    <row r="198" spans="1:20" s="6" customFormat="1" ht="16.5" x14ac:dyDescent="0.25">
      <c r="A198" s="63" t="s">
        <v>218</v>
      </c>
      <c r="B198" s="58" t="s">
        <v>219</v>
      </c>
      <c r="C198" s="51">
        <v>225</v>
      </c>
      <c r="D198" s="33">
        <f t="shared" si="53"/>
        <v>0</v>
      </c>
      <c r="E198" s="33">
        <f t="shared" si="54"/>
        <v>0</v>
      </c>
      <c r="F198" s="93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33"/>
      <c r="T198" s="80"/>
    </row>
    <row r="199" spans="1:20" s="6" customFormat="1" ht="16.5" x14ac:dyDescent="0.25">
      <c r="A199" s="63" t="s">
        <v>220</v>
      </c>
      <c r="B199" s="58" t="s">
        <v>221</v>
      </c>
      <c r="C199" s="51">
        <v>225</v>
      </c>
      <c r="D199" s="33">
        <f t="shared" si="53"/>
        <v>4200</v>
      </c>
      <c r="E199" s="33">
        <f t="shared" si="54"/>
        <v>21900</v>
      </c>
      <c r="F199" s="93">
        <f t="shared" si="47"/>
        <v>521.42857142857144</v>
      </c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33">
        <v>4200</v>
      </c>
      <c r="T199" s="80">
        <v>21900</v>
      </c>
    </row>
    <row r="200" spans="1:20" s="6" customFormat="1" ht="16.5" x14ac:dyDescent="0.25">
      <c r="A200" s="63" t="s">
        <v>222</v>
      </c>
      <c r="B200" s="58" t="s">
        <v>223</v>
      </c>
      <c r="C200" s="51">
        <v>226</v>
      </c>
      <c r="D200" s="33">
        <f t="shared" si="53"/>
        <v>747380.52</v>
      </c>
      <c r="E200" s="33">
        <f t="shared" si="54"/>
        <v>207483.89</v>
      </c>
      <c r="F200" s="93">
        <f t="shared" si="47"/>
        <v>27.761479520499144</v>
      </c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33">
        <f>580000+121700+45680.52</f>
        <v>747380.52</v>
      </c>
      <c r="T200" s="80">
        <v>207483.89</v>
      </c>
    </row>
    <row r="201" spans="1:20" s="6" customFormat="1" ht="16.5" x14ac:dyDescent="0.25">
      <c r="A201" s="63" t="s">
        <v>224</v>
      </c>
      <c r="B201" s="58" t="s">
        <v>225</v>
      </c>
      <c r="C201" s="51">
        <v>226</v>
      </c>
      <c r="D201" s="33">
        <f t="shared" si="53"/>
        <v>0</v>
      </c>
      <c r="E201" s="33">
        <f t="shared" si="54"/>
        <v>0</v>
      </c>
      <c r="F201" s="93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33"/>
      <c r="T201" s="80"/>
    </row>
    <row r="202" spans="1:20" s="6" customFormat="1" ht="16.5" x14ac:dyDescent="0.25">
      <c r="A202" s="63" t="s">
        <v>226</v>
      </c>
      <c r="B202" s="28" t="s">
        <v>68</v>
      </c>
      <c r="C202" s="51">
        <v>290</v>
      </c>
      <c r="D202" s="33">
        <f t="shared" si="53"/>
        <v>7600</v>
      </c>
      <c r="E202" s="33">
        <f t="shared" si="54"/>
        <v>10000</v>
      </c>
      <c r="F202" s="93">
        <f t="shared" si="47"/>
        <v>131.57894736842107</v>
      </c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33">
        <v>7600</v>
      </c>
      <c r="T202" s="80">
        <v>10000</v>
      </c>
    </row>
    <row r="203" spans="1:20" s="6" customFormat="1" ht="16.5" x14ac:dyDescent="0.25">
      <c r="A203" s="63" t="s">
        <v>227</v>
      </c>
      <c r="B203" s="58" t="s">
        <v>72</v>
      </c>
      <c r="C203" s="51">
        <v>310</v>
      </c>
      <c r="D203" s="33">
        <f t="shared" si="53"/>
        <v>60900</v>
      </c>
      <c r="E203" s="33">
        <f t="shared" si="54"/>
        <v>43810</v>
      </c>
      <c r="F203" s="93">
        <f t="shared" si="47"/>
        <v>71.937602627257803</v>
      </c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33">
        <v>60900</v>
      </c>
      <c r="T203" s="80">
        <v>43810</v>
      </c>
    </row>
    <row r="204" spans="1:20" s="6" customFormat="1" ht="16.5" x14ac:dyDescent="0.25">
      <c r="A204" s="63" t="s">
        <v>228</v>
      </c>
      <c r="B204" s="58" t="s">
        <v>243</v>
      </c>
      <c r="C204" s="51">
        <v>340</v>
      </c>
      <c r="D204" s="33">
        <f t="shared" si="53"/>
        <v>267300</v>
      </c>
      <c r="E204" s="33">
        <f t="shared" si="54"/>
        <v>60714</v>
      </c>
      <c r="F204" s="93">
        <f t="shared" si="47"/>
        <v>22.713804713804713</v>
      </c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33">
        <v>267300</v>
      </c>
      <c r="T204" s="80">
        <v>60714</v>
      </c>
    </row>
    <row r="205" spans="1:20" s="6" customFormat="1" ht="16.5" x14ac:dyDescent="0.25">
      <c r="A205" s="63" t="s">
        <v>286</v>
      </c>
      <c r="B205" s="58" t="s">
        <v>225</v>
      </c>
      <c r="C205" s="51">
        <v>340</v>
      </c>
      <c r="D205" s="33">
        <f t="shared" si="53"/>
        <v>0</v>
      </c>
      <c r="E205" s="33">
        <f t="shared" si="54"/>
        <v>0</v>
      </c>
      <c r="F205" s="93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88"/>
    </row>
    <row r="206" spans="1:20" s="18" customFormat="1" ht="17.25" x14ac:dyDescent="0.25">
      <c r="A206" s="61" t="s">
        <v>229</v>
      </c>
      <c r="B206" s="62" t="s">
        <v>39</v>
      </c>
      <c r="C206" s="49"/>
      <c r="D206" s="33">
        <f t="shared" si="53"/>
        <v>0</v>
      </c>
      <c r="E206" s="33">
        <f t="shared" si="54"/>
        <v>0</v>
      </c>
      <c r="F206" s="93"/>
      <c r="G206" s="34">
        <f t="shared" ref="G206:S206" si="56">SUM(G207+G208+G209+G210+G211+G212+G216+G217+G218+G219+G220+G221+G222)</f>
        <v>0</v>
      </c>
      <c r="H206" s="34"/>
      <c r="I206" s="34">
        <f t="shared" si="56"/>
        <v>0</v>
      </c>
      <c r="J206" s="34"/>
      <c r="K206" s="34">
        <f t="shared" si="56"/>
        <v>0</v>
      </c>
      <c r="L206" s="34"/>
      <c r="M206" s="34">
        <f t="shared" si="56"/>
        <v>0</v>
      </c>
      <c r="N206" s="34"/>
      <c r="O206" s="34">
        <f t="shared" si="56"/>
        <v>0</v>
      </c>
      <c r="P206" s="34"/>
      <c r="Q206" s="34"/>
      <c r="R206" s="34"/>
      <c r="S206" s="34">
        <f t="shared" si="56"/>
        <v>0</v>
      </c>
      <c r="T206" s="34">
        <f t="shared" ref="T206" si="57">SUM(T207+T208+T209+T210+T211+T212+T216+T217+T218+T219+T220+T221+T222)</f>
        <v>0</v>
      </c>
    </row>
    <row r="207" spans="1:20" s="6" customFormat="1" ht="16.5" hidden="1" x14ac:dyDescent="0.25">
      <c r="A207" s="63" t="s">
        <v>230</v>
      </c>
      <c r="B207" s="28" t="s">
        <v>47</v>
      </c>
      <c r="C207" s="51">
        <v>211</v>
      </c>
      <c r="D207" s="33">
        <f t="shared" si="53"/>
        <v>0</v>
      </c>
      <c r="E207" s="33">
        <f t="shared" si="54"/>
        <v>0</v>
      </c>
      <c r="F207" s="93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</row>
    <row r="208" spans="1:20" s="6" customFormat="1" ht="16.5" hidden="1" x14ac:dyDescent="0.25">
      <c r="A208" s="63" t="s">
        <v>231</v>
      </c>
      <c r="B208" s="28" t="s">
        <v>49</v>
      </c>
      <c r="C208" s="51">
        <v>212</v>
      </c>
      <c r="D208" s="33">
        <f t="shared" si="53"/>
        <v>0</v>
      </c>
      <c r="E208" s="33">
        <f t="shared" si="54"/>
        <v>0</v>
      </c>
      <c r="F208" s="93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</row>
    <row r="209" spans="1:20" s="6" customFormat="1" ht="16.5" hidden="1" x14ac:dyDescent="0.25">
      <c r="A209" s="63" t="s">
        <v>232</v>
      </c>
      <c r="B209" s="28" t="s">
        <v>51</v>
      </c>
      <c r="C209" s="51">
        <v>213</v>
      </c>
      <c r="D209" s="33">
        <f t="shared" si="53"/>
        <v>0</v>
      </c>
      <c r="E209" s="33">
        <f t="shared" si="54"/>
        <v>0</v>
      </c>
      <c r="F209" s="93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0" s="6" customFormat="1" ht="16.5" hidden="1" x14ac:dyDescent="0.25">
      <c r="A210" s="63" t="s">
        <v>233</v>
      </c>
      <c r="B210" s="28" t="s">
        <v>53</v>
      </c>
      <c r="C210" s="51">
        <v>221</v>
      </c>
      <c r="D210" s="33">
        <f t="shared" si="53"/>
        <v>0</v>
      </c>
      <c r="E210" s="33">
        <f t="shared" si="54"/>
        <v>0</v>
      </c>
      <c r="F210" s="93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0" s="6" customFormat="1" ht="16.5" hidden="1" x14ac:dyDescent="0.25">
      <c r="A211" s="63" t="s">
        <v>234</v>
      </c>
      <c r="B211" s="28" t="s">
        <v>55</v>
      </c>
      <c r="C211" s="51">
        <v>222</v>
      </c>
      <c r="D211" s="33">
        <f t="shared" si="53"/>
        <v>0</v>
      </c>
      <c r="E211" s="33">
        <f t="shared" si="54"/>
        <v>0</v>
      </c>
      <c r="F211" s="93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0" s="6" customFormat="1" ht="16.5" hidden="1" x14ac:dyDescent="0.25">
      <c r="A212" s="63" t="s">
        <v>235</v>
      </c>
      <c r="B212" s="28" t="s">
        <v>57</v>
      </c>
      <c r="C212" s="51">
        <v>223</v>
      </c>
      <c r="D212" s="33">
        <f t="shared" si="53"/>
        <v>0</v>
      </c>
      <c r="E212" s="33">
        <f t="shared" si="54"/>
        <v>0</v>
      </c>
      <c r="F212" s="93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0" s="6" customFormat="1" ht="16.5" hidden="1" x14ac:dyDescent="0.25">
      <c r="A213" s="63"/>
      <c r="B213" s="58" t="s">
        <v>213</v>
      </c>
      <c r="C213" s="51">
        <v>223</v>
      </c>
      <c r="D213" s="33">
        <f t="shared" si="53"/>
        <v>0</v>
      </c>
      <c r="E213" s="33">
        <f t="shared" si="54"/>
        <v>0</v>
      </c>
      <c r="F213" s="93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</row>
    <row r="214" spans="1:20" s="6" customFormat="1" ht="16.5" hidden="1" x14ac:dyDescent="0.25">
      <c r="A214" s="63"/>
      <c r="B214" s="58" t="s">
        <v>214</v>
      </c>
      <c r="C214" s="51">
        <v>223</v>
      </c>
      <c r="D214" s="33">
        <f t="shared" si="53"/>
        <v>0</v>
      </c>
      <c r="E214" s="33">
        <f t="shared" si="54"/>
        <v>0</v>
      </c>
      <c r="F214" s="93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</row>
    <row r="215" spans="1:20" s="6" customFormat="1" ht="16.5" hidden="1" x14ac:dyDescent="0.25">
      <c r="A215" s="63"/>
      <c r="B215" s="58" t="s">
        <v>215</v>
      </c>
      <c r="C215" s="51">
        <v>223</v>
      </c>
      <c r="D215" s="33">
        <f t="shared" si="53"/>
        <v>0</v>
      </c>
      <c r="E215" s="33">
        <f t="shared" si="54"/>
        <v>0</v>
      </c>
      <c r="F215" s="93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</row>
    <row r="216" spans="1:20" s="6" customFormat="1" ht="16.5" hidden="1" x14ac:dyDescent="0.25">
      <c r="A216" s="63" t="s">
        <v>236</v>
      </c>
      <c r="B216" s="58" t="s">
        <v>217</v>
      </c>
      <c r="C216" s="51">
        <v>224</v>
      </c>
      <c r="D216" s="33">
        <f t="shared" si="53"/>
        <v>0</v>
      </c>
      <c r="E216" s="33">
        <f t="shared" si="54"/>
        <v>0</v>
      </c>
      <c r="F216" s="93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</row>
    <row r="217" spans="1:20" s="6" customFormat="1" ht="16.5" hidden="1" x14ac:dyDescent="0.25">
      <c r="A217" s="63" t="s">
        <v>237</v>
      </c>
      <c r="B217" s="58" t="s">
        <v>219</v>
      </c>
      <c r="C217" s="51">
        <v>225</v>
      </c>
      <c r="D217" s="33">
        <f t="shared" si="53"/>
        <v>0</v>
      </c>
      <c r="E217" s="33">
        <f t="shared" si="54"/>
        <v>0</v>
      </c>
      <c r="F217" s="93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</row>
    <row r="218" spans="1:20" s="6" customFormat="1" ht="16.5" hidden="1" x14ac:dyDescent="0.25">
      <c r="A218" s="63" t="s">
        <v>238</v>
      </c>
      <c r="B218" s="28" t="s">
        <v>64</v>
      </c>
      <c r="C218" s="51">
        <v>225</v>
      </c>
      <c r="D218" s="33">
        <f t="shared" si="53"/>
        <v>0</v>
      </c>
      <c r="E218" s="33">
        <f t="shared" si="54"/>
        <v>0</v>
      </c>
      <c r="F218" s="93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</row>
    <row r="219" spans="1:20" s="6" customFormat="1" ht="16.5" hidden="1" x14ac:dyDescent="0.25">
      <c r="A219" s="63" t="s">
        <v>239</v>
      </c>
      <c r="B219" s="28" t="s">
        <v>66</v>
      </c>
      <c r="C219" s="51">
        <v>226</v>
      </c>
      <c r="D219" s="33">
        <f t="shared" si="53"/>
        <v>0</v>
      </c>
      <c r="E219" s="33">
        <f t="shared" si="54"/>
        <v>0</v>
      </c>
      <c r="F219" s="93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</row>
    <row r="220" spans="1:20" s="6" customFormat="1" ht="16.5" hidden="1" x14ac:dyDescent="0.25">
      <c r="A220" s="63" t="s">
        <v>240</v>
      </c>
      <c r="B220" s="28" t="s">
        <v>68</v>
      </c>
      <c r="C220" s="51">
        <v>290</v>
      </c>
      <c r="D220" s="33">
        <f t="shared" si="53"/>
        <v>0</v>
      </c>
      <c r="E220" s="33">
        <f t="shared" si="54"/>
        <v>0</v>
      </c>
      <c r="F220" s="93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</row>
    <row r="221" spans="1:20" s="6" customFormat="1" ht="16.5" hidden="1" x14ac:dyDescent="0.25">
      <c r="A221" s="63" t="s">
        <v>241</v>
      </c>
      <c r="B221" s="58" t="s">
        <v>72</v>
      </c>
      <c r="C221" s="51">
        <v>310</v>
      </c>
      <c r="D221" s="33">
        <f t="shared" si="53"/>
        <v>0</v>
      </c>
      <c r="E221" s="33">
        <f t="shared" si="54"/>
        <v>0</v>
      </c>
      <c r="F221" s="93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</row>
    <row r="222" spans="1:20" s="6" customFormat="1" ht="16.5" hidden="1" x14ac:dyDescent="0.25">
      <c r="A222" s="63" t="s">
        <v>242</v>
      </c>
      <c r="B222" s="58" t="s">
        <v>243</v>
      </c>
      <c r="C222" s="51">
        <v>340</v>
      </c>
      <c r="D222" s="33">
        <f t="shared" si="53"/>
        <v>0</v>
      </c>
      <c r="E222" s="33">
        <f t="shared" si="54"/>
        <v>0</v>
      </c>
      <c r="F222" s="93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</row>
    <row r="223" spans="1:20" s="18" customFormat="1" ht="17.25" x14ac:dyDescent="0.25">
      <c r="A223" s="61" t="s">
        <v>244</v>
      </c>
      <c r="B223" s="62" t="s">
        <v>40</v>
      </c>
      <c r="C223" s="49"/>
      <c r="D223" s="33">
        <f t="shared" si="53"/>
        <v>0</v>
      </c>
      <c r="E223" s="33">
        <f t="shared" si="54"/>
        <v>0</v>
      </c>
      <c r="F223" s="93"/>
      <c r="G223" s="34">
        <f t="shared" ref="G223:S223" si="58">SUM(G224+G225+G226+G227+G228+G229+G233+G234+G235+G236+G237+G238+G239+G240)</f>
        <v>0</v>
      </c>
      <c r="H223" s="34"/>
      <c r="I223" s="34">
        <f t="shared" si="58"/>
        <v>0</v>
      </c>
      <c r="J223" s="34"/>
      <c r="K223" s="34">
        <f t="shared" si="58"/>
        <v>0</v>
      </c>
      <c r="L223" s="34"/>
      <c r="M223" s="34">
        <f t="shared" si="58"/>
        <v>0</v>
      </c>
      <c r="N223" s="34"/>
      <c r="O223" s="34">
        <f t="shared" si="58"/>
        <v>0</v>
      </c>
      <c r="P223" s="34"/>
      <c r="Q223" s="34"/>
      <c r="R223" s="34"/>
      <c r="S223" s="34">
        <f t="shared" si="58"/>
        <v>0</v>
      </c>
      <c r="T223" s="34">
        <f t="shared" ref="T223" si="59">SUM(T224+T225+T226+T227+T228+T229+T233+T234+T235+T236+T237+T238+T239+T240)</f>
        <v>0</v>
      </c>
    </row>
    <row r="224" spans="1:20" s="6" customFormat="1" ht="16.5" hidden="1" x14ac:dyDescent="0.25">
      <c r="A224" s="63" t="s">
        <v>245</v>
      </c>
      <c r="B224" s="28" t="s">
        <v>47</v>
      </c>
      <c r="C224" s="51">
        <v>211</v>
      </c>
      <c r="D224" s="33">
        <f t="shared" si="53"/>
        <v>0</v>
      </c>
      <c r="E224" s="33">
        <f t="shared" si="54"/>
        <v>0</v>
      </c>
      <c r="F224" s="93" t="e">
        <f t="shared" si="47"/>
        <v>#DIV/0!</v>
      </c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</row>
    <row r="225" spans="1:20" s="6" customFormat="1" ht="16.5" hidden="1" x14ac:dyDescent="0.25">
      <c r="A225" s="63" t="s">
        <v>246</v>
      </c>
      <c r="B225" s="28" t="s">
        <v>49</v>
      </c>
      <c r="C225" s="51">
        <v>212</v>
      </c>
      <c r="D225" s="33">
        <f t="shared" si="53"/>
        <v>0</v>
      </c>
      <c r="E225" s="33">
        <f t="shared" si="54"/>
        <v>0</v>
      </c>
      <c r="F225" s="93" t="e">
        <f t="shared" ref="F225:F258" si="60">SUM(E225/D225*100)</f>
        <v>#DIV/0!</v>
      </c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</row>
    <row r="226" spans="1:20" s="6" customFormat="1" ht="16.5" hidden="1" x14ac:dyDescent="0.25">
      <c r="A226" s="63" t="s">
        <v>247</v>
      </c>
      <c r="B226" s="28" t="s">
        <v>51</v>
      </c>
      <c r="C226" s="51">
        <v>213</v>
      </c>
      <c r="D226" s="33">
        <f t="shared" si="53"/>
        <v>0</v>
      </c>
      <c r="E226" s="33">
        <f t="shared" si="54"/>
        <v>0</v>
      </c>
      <c r="F226" s="93" t="e">
        <f t="shared" si="60"/>
        <v>#DIV/0!</v>
      </c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</row>
    <row r="227" spans="1:20" s="6" customFormat="1" ht="16.5" hidden="1" x14ac:dyDescent="0.25">
      <c r="A227" s="63" t="s">
        <v>248</v>
      </c>
      <c r="B227" s="28" t="s">
        <v>53</v>
      </c>
      <c r="C227" s="51">
        <v>221</v>
      </c>
      <c r="D227" s="33">
        <f t="shared" si="53"/>
        <v>0</v>
      </c>
      <c r="E227" s="33">
        <f t="shared" si="54"/>
        <v>0</v>
      </c>
      <c r="F227" s="93" t="e">
        <f t="shared" si="60"/>
        <v>#DIV/0!</v>
      </c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</row>
    <row r="228" spans="1:20" s="6" customFormat="1" ht="16.5" hidden="1" x14ac:dyDescent="0.25">
      <c r="A228" s="63" t="s">
        <v>249</v>
      </c>
      <c r="B228" s="28" t="s">
        <v>55</v>
      </c>
      <c r="C228" s="51">
        <v>222</v>
      </c>
      <c r="D228" s="33">
        <f t="shared" si="53"/>
        <v>0</v>
      </c>
      <c r="E228" s="33">
        <f t="shared" si="54"/>
        <v>0</v>
      </c>
      <c r="F228" s="93" t="e">
        <f t="shared" si="60"/>
        <v>#DIV/0!</v>
      </c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</row>
    <row r="229" spans="1:20" s="6" customFormat="1" ht="16.5" hidden="1" x14ac:dyDescent="0.25">
      <c r="A229" s="63" t="s">
        <v>250</v>
      </c>
      <c r="B229" s="28" t="s">
        <v>57</v>
      </c>
      <c r="C229" s="51">
        <v>223</v>
      </c>
      <c r="D229" s="33">
        <f t="shared" si="53"/>
        <v>0</v>
      </c>
      <c r="E229" s="33">
        <f t="shared" si="54"/>
        <v>0</v>
      </c>
      <c r="F229" s="93" t="e">
        <f t="shared" si="60"/>
        <v>#DIV/0!</v>
      </c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</row>
    <row r="230" spans="1:20" s="6" customFormat="1" ht="16.5" hidden="1" x14ac:dyDescent="0.25">
      <c r="A230" s="63"/>
      <c r="B230" s="58" t="s">
        <v>213</v>
      </c>
      <c r="C230" s="51">
        <v>223</v>
      </c>
      <c r="D230" s="33">
        <f t="shared" si="53"/>
        <v>0</v>
      </c>
      <c r="E230" s="33">
        <f t="shared" si="54"/>
        <v>0</v>
      </c>
      <c r="F230" s="93" t="e">
        <f t="shared" si="60"/>
        <v>#DIV/0!</v>
      </c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</row>
    <row r="231" spans="1:20" s="6" customFormat="1" ht="16.5" hidden="1" x14ac:dyDescent="0.25">
      <c r="A231" s="63"/>
      <c r="B231" s="58" t="s">
        <v>214</v>
      </c>
      <c r="C231" s="51">
        <v>223</v>
      </c>
      <c r="D231" s="33">
        <f t="shared" si="53"/>
        <v>0</v>
      </c>
      <c r="E231" s="33">
        <f t="shared" si="54"/>
        <v>0</v>
      </c>
      <c r="F231" s="93" t="e">
        <f t="shared" si="60"/>
        <v>#DIV/0!</v>
      </c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</row>
    <row r="232" spans="1:20" s="6" customFormat="1" ht="16.5" hidden="1" x14ac:dyDescent="0.25">
      <c r="A232" s="63"/>
      <c r="B232" s="58" t="s">
        <v>215</v>
      </c>
      <c r="C232" s="51">
        <v>223</v>
      </c>
      <c r="D232" s="33">
        <f t="shared" si="53"/>
        <v>0</v>
      </c>
      <c r="E232" s="33">
        <f t="shared" si="54"/>
        <v>0</v>
      </c>
      <c r="F232" s="93" t="e">
        <f t="shared" si="60"/>
        <v>#DIV/0!</v>
      </c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</row>
    <row r="233" spans="1:20" s="6" customFormat="1" ht="16.5" hidden="1" x14ac:dyDescent="0.25">
      <c r="A233" s="63" t="s">
        <v>251</v>
      </c>
      <c r="B233" s="58" t="s">
        <v>217</v>
      </c>
      <c r="C233" s="51">
        <v>224</v>
      </c>
      <c r="D233" s="33">
        <f t="shared" si="53"/>
        <v>0</v>
      </c>
      <c r="E233" s="33">
        <f t="shared" si="54"/>
        <v>0</v>
      </c>
      <c r="F233" s="93" t="e">
        <f t="shared" si="60"/>
        <v>#DIV/0!</v>
      </c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</row>
    <row r="234" spans="1:20" s="6" customFormat="1" ht="16.5" hidden="1" x14ac:dyDescent="0.25">
      <c r="A234" s="63" t="s">
        <v>252</v>
      </c>
      <c r="B234" s="58" t="s">
        <v>219</v>
      </c>
      <c r="C234" s="51">
        <v>225</v>
      </c>
      <c r="D234" s="33">
        <f t="shared" si="53"/>
        <v>0</v>
      </c>
      <c r="E234" s="33">
        <f t="shared" si="54"/>
        <v>0</v>
      </c>
      <c r="F234" s="93" t="e">
        <f t="shared" si="60"/>
        <v>#DIV/0!</v>
      </c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</row>
    <row r="235" spans="1:20" s="6" customFormat="1" ht="16.5" hidden="1" x14ac:dyDescent="0.25">
      <c r="A235" s="63" t="s">
        <v>253</v>
      </c>
      <c r="B235" s="28" t="s">
        <v>64</v>
      </c>
      <c r="C235" s="51">
        <v>225</v>
      </c>
      <c r="D235" s="33">
        <f t="shared" si="53"/>
        <v>0</v>
      </c>
      <c r="E235" s="33">
        <f t="shared" si="54"/>
        <v>0</v>
      </c>
      <c r="F235" s="93" t="e">
        <f t="shared" si="60"/>
        <v>#DIV/0!</v>
      </c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</row>
    <row r="236" spans="1:20" s="6" customFormat="1" ht="16.5" hidden="1" x14ac:dyDescent="0.25">
      <c r="A236" s="63" t="s">
        <v>254</v>
      </c>
      <c r="B236" s="28" t="s">
        <v>66</v>
      </c>
      <c r="C236" s="51">
        <v>226</v>
      </c>
      <c r="D236" s="33">
        <f t="shared" si="53"/>
        <v>0</v>
      </c>
      <c r="E236" s="33">
        <f t="shared" si="54"/>
        <v>0</v>
      </c>
      <c r="F236" s="93" t="e">
        <f t="shared" si="60"/>
        <v>#DIV/0!</v>
      </c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</row>
    <row r="237" spans="1:20" s="6" customFormat="1" ht="16.5" hidden="1" x14ac:dyDescent="0.25">
      <c r="A237" s="63" t="s">
        <v>255</v>
      </c>
      <c r="B237" s="58" t="s">
        <v>225</v>
      </c>
      <c r="C237" s="51">
        <v>226</v>
      </c>
      <c r="D237" s="33">
        <f t="shared" si="53"/>
        <v>0</v>
      </c>
      <c r="E237" s="33">
        <f t="shared" si="54"/>
        <v>0</v>
      </c>
      <c r="F237" s="93" t="e">
        <f t="shared" si="60"/>
        <v>#DIV/0!</v>
      </c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</row>
    <row r="238" spans="1:20" s="6" customFormat="1" ht="16.5" hidden="1" x14ac:dyDescent="0.25">
      <c r="A238" s="63" t="s">
        <v>256</v>
      </c>
      <c r="B238" s="28" t="s">
        <v>68</v>
      </c>
      <c r="C238" s="51">
        <v>290</v>
      </c>
      <c r="D238" s="33">
        <f t="shared" si="53"/>
        <v>0</v>
      </c>
      <c r="E238" s="33">
        <f t="shared" si="54"/>
        <v>0</v>
      </c>
      <c r="F238" s="93" t="e">
        <f t="shared" si="60"/>
        <v>#DIV/0!</v>
      </c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</row>
    <row r="239" spans="1:20" s="6" customFormat="1" ht="16.5" hidden="1" x14ac:dyDescent="0.25">
      <c r="A239" s="63" t="s">
        <v>257</v>
      </c>
      <c r="B239" s="58" t="s">
        <v>72</v>
      </c>
      <c r="C239" s="51">
        <v>310</v>
      </c>
      <c r="D239" s="33">
        <f t="shared" si="53"/>
        <v>0</v>
      </c>
      <c r="E239" s="33">
        <f t="shared" si="54"/>
        <v>0</v>
      </c>
      <c r="F239" s="93" t="e">
        <f t="shared" si="60"/>
        <v>#DIV/0!</v>
      </c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</row>
    <row r="240" spans="1:20" s="6" customFormat="1" ht="16.5" hidden="1" x14ac:dyDescent="0.25">
      <c r="A240" s="63" t="s">
        <v>258</v>
      </c>
      <c r="B240" s="58" t="s">
        <v>243</v>
      </c>
      <c r="C240" s="51">
        <v>340</v>
      </c>
      <c r="D240" s="33">
        <f t="shared" si="53"/>
        <v>0</v>
      </c>
      <c r="E240" s="33">
        <f t="shared" si="54"/>
        <v>0</v>
      </c>
      <c r="F240" s="93" t="e">
        <f t="shared" si="60"/>
        <v>#DIV/0!</v>
      </c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</row>
    <row r="241" spans="1:20" s="18" customFormat="1" ht="17.25" x14ac:dyDescent="0.25">
      <c r="A241" s="61" t="s">
        <v>259</v>
      </c>
      <c r="B241" s="62" t="s">
        <v>41</v>
      </c>
      <c r="C241" s="49"/>
      <c r="D241" s="33">
        <f t="shared" si="53"/>
        <v>3086500.26</v>
      </c>
      <c r="E241" s="33">
        <f t="shared" si="54"/>
        <v>1165125.33</v>
      </c>
      <c r="F241" s="93">
        <f t="shared" si="60"/>
        <v>37.749076036040904</v>
      </c>
      <c r="G241" s="34">
        <f t="shared" ref="G241:S241" si="61">SUM(G242+G243+G244+G245+G246+G247+G251+G252+G253+G254+G255+G256+G257+G258)</f>
        <v>0</v>
      </c>
      <c r="H241" s="34">
        <f t="shared" si="61"/>
        <v>0</v>
      </c>
      <c r="I241" s="34">
        <f t="shared" si="61"/>
        <v>0</v>
      </c>
      <c r="J241" s="34">
        <f t="shared" si="61"/>
        <v>0</v>
      </c>
      <c r="K241" s="34">
        <f t="shared" si="61"/>
        <v>0</v>
      </c>
      <c r="L241" s="34">
        <f t="shared" si="61"/>
        <v>0</v>
      </c>
      <c r="M241" s="34">
        <f t="shared" si="61"/>
        <v>0</v>
      </c>
      <c r="N241" s="34">
        <f t="shared" si="61"/>
        <v>0</v>
      </c>
      <c r="O241" s="34">
        <f t="shared" si="61"/>
        <v>0</v>
      </c>
      <c r="P241" s="34">
        <f t="shared" si="61"/>
        <v>0</v>
      </c>
      <c r="Q241" s="34">
        <f t="shared" si="61"/>
        <v>0</v>
      </c>
      <c r="R241" s="34">
        <f t="shared" si="61"/>
        <v>0</v>
      </c>
      <c r="S241" s="34">
        <f t="shared" si="61"/>
        <v>3086500.26</v>
      </c>
      <c r="T241" s="34">
        <f t="shared" ref="T241" si="62">SUM(T242+T243+T244+T245+T246+T247+T251+T252+T253+T254+T255+T256+T257+T258)</f>
        <v>1165125.33</v>
      </c>
    </row>
    <row r="242" spans="1:20" s="6" customFormat="1" ht="16.5" x14ac:dyDescent="0.25">
      <c r="A242" s="63" t="s">
        <v>260</v>
      </c>
      <c r="B242" s="28" t="s">
        <v>47</v>
      </c>
      <c r="C242" s="51">
        <v>211</v>
      </c>
      <c r="D242" s="33">
        <f t="shared" si="53"/>
        <v>0</v>
      </c>
      <c r="E242" s="33">
        <f t="shared" si="54"/>
        <v>0</v>
      </c>
      <c r="F242" s="93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88"/>
    </row>
    <row r="243" spans="1:20" s="6" customFormat="1" ht="16.5" x14ac:dyDescent="0.25">
      <c r="A243" s="63" t="s">
        <v>261</v>
      </c>
      <c r="B243" s="28" t="s">
        <v>49</v>
      </c>
      <c r="C243" s="51">
        <v>212</v>
      </c>
      <c r="D243" s="33">
        <f t="shared" si="53"/>
        <v>0</v>
      </c>
      <c r="E243" s="33">
        <f t="shared" si="54"/>
        <v>0</v>
      </c>
      <c r="F243" s="93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88"/>
    </row>
    <row r="244" spans="1:20" s="6" customFormat="1" ht="16.5" x14ac:dyDescent="0.25">
      <c r="A244" s="63" t="s">
        <v>262</v>
      </c>
      <c r="B244" s="28" t="s">
        <v>51</v>
      </c>
      <c r="C244" s="51">
        <v>213</v>
      </c>
      <c r="D244" s="33">
        <f t="shared" si="53"/>
        <v>0</v>
      </c>
      <c r="E244" s="33">
        <f t="shared" si="54"/>
        <v>0</v>
      </c>
      <c r="F244" s="93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88"/>
    </row>
    <row r="245" spans="1:20" s="6" customFormat="1" ht="16.5" x14ac:dyDescent="0.25">
      <c r="A245" s="63" t="s">
        <v>263</v>
      </c>
      <c r="B245" s="28" t="s">
        <v>53</v>
      </c>
      <c r="C245" s="51">
        <v>221</v>
      </c>
      <c r="D245" s="33">
        <f t="shared" si="53"/>
        <v>10200</v>
      </c>
      <c r="E245" s="33">
        <f t="shared" si="54"/>
        <v>0</v>
      </c>
      <c r="F245" s="93">
        <f t="shared" si="60"/>
        <v>0</v>
      </c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33">
        <v>10200</v>
      </c>
      <c r="T245" s="80"/>
    </row>
    <row r="246" spans="1:20" s="6" customFormat="1" ht="16.5" x14ac:dyDescent="0.25">
      <c r="A246" s="63" t="s">
        <v>264</v>
      </c>
      <c r="B246" s="28" t="s">
        <v>55</v>
      </c>
      <c r="C246" s="51">
        <v>222</v>
      </c>
      <c r="D246" s="33">
        <f t="shared" si="53"/>
        <v>0</v>
      </c>
      <c r="E246" s="33">
        <f t="shared" si="54"/>
        <v>2500</v>
      </c>
      <c r="F246" s="93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33"/>
      <c r="T246" s="80">
        <v>2500</v>
      </c>
    </row>
    <row r="247" spans="1:20" s="6" customFormat="1" ht="16.5" x14ac:dyDescent="0.25">
      <c r="A247" s="63" t="s">
        <v>265</v>
      </c>
      <c r="B247" s="28" t="s">
        <v>57</v>
      </c>
      <c r="C247" s="51">
        <v>223</v>
      </c>
      <c r="D247" s="33">
        <f t="shared" ref="D247:D258" si="63">SUM(G247+I247+K247+M247+O247+Q247+S247)</f>
        <v>0</v>
      </c>
      <c r="E247" s="33">
        <f t="shared" ref="E247:E258" si="64">SUM(H247+J247+L247+N247+P247+R247+T247)</f>
        <v>0</v>
      </c>
      <c r="F247" s="93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33"/>
      <c r="T247" s="80"/>
    </row>
    <row r="248" spans="1:20" s="6" customFormat="1" ht="16.5" hidden="1" x14ac:dyDescent="0.25">
      <c r="A248" s="63"/>
      <c r="B248" s="58" t="s">
        <v>213</v>
      </c>
      <c r="C248" s="51">
        <v>223</v>
      </c>
      <c r="D248" s="33">
        <f t="shared" si="63"/>
        <v>0</v>
      </c>
      <c r="E248" s="33">
        <f t="shared" si="64"/>
        <v>0</v>
      </c>
      <c r="F248" s="93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33"/>
      <c r="T248" s="80"/>
    </row>
    <row r="249" spans="1:20" s="6" customFormat="1" ht="16.5" hidden="1" x14ac:dyDescent="0.25">
      <c r="A249" s="63"/>
      <c r="B249" s="58" t="s">
        <v>214</v>
      </c>
      <c r="C249" s="51">
        <v>223</v>
      </c>
      <c r="D249" s="33">
        <f t="shared" si="63"/>
        <v>0</v>
      </c>
      <c r="E249" s="33">
        <f t="shared" si="64"/>
        <v>0</v>
      </c>
      <c r="F249" s="93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33"/>
      <c r="T249" s="80"/>
    </row>
    <row r="250" spans="1:20" s="6" customFormat="1" ht="16.5" hidden="1" x14ac:dyDescent="0.25">
      <c r="A250" s="63"/>
      <c r="B250" s="58" t="s">
        <v>215</v>
      </c>
      <c r="C250" s="51">
        <v>223</v>
      </c>
      <c r="D250" s="33">
        <f t="shared" si="63"/>
        <v>0</v>
      </c>
      <c r="E250" s="33">
        <f t="shared" si="64"/>
        <v>0</v>
      </c>
      <c r="F250" s="93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33"/>
      <c r="T250" s="80"/>
    </row>
    <row r="251" spans="1:20" s="6" customFormat="1" ht="16.5" x14ac:dyDescent="0.25">
      <c r="A251" s="63" t="s">
        <v>266</v>
      </c>
      <c r="B251" s="58" t="s">
        <v>217</v>
      </c>
      <c r="C251" s="51">
        <v>224</v>
      </c>
      <c r="D251" s="33">
        <f t="shared" si="63"/>
        <v>0</v>
      </c>
      <c r="E251" s="33">
        <f t="shared" si="64"/>
        <v>0</v>
      </c>
      <c r="F251" s="93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33"/>
      <c r="T251" s="80"/>
    </row>
    <row r="252" spans="1:20" s="6" customFormat="1" ht="16.5" x14ac:dyDescent="0.25">
      <c r="A252" s="63" t="s">
        <v>267</v>
      </c>
      <c r="B252" s="58" t="s">
        <v>219</v>
      </c>
      <c r="C252" s="51">
        <v>225</v>
      </c>
      <c r="D252" s="33">
        <f t="shared" si="63"/>
        <v>0</v>
      </c>
      <c r="E252" s="33">
        <f t="shared" si="64"/>
        <v>0</v>
      </c>
      <c r="F252" s="93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33"/>
      <c r="T252" s="80"/>
    </row>
    <row r="253" spans="1:20" s="6" customFormat="1" ht="16.5" x14ac:dyDescent="0.25">
      <c r="A253" s="63" t="s">
        <v>268</v>
      </c>
      <c r="B253" s="28" t="s">
        <v>64</v>
      </c>
      <c r="C253" s="51">
        <v>225</v>
      </c>
      <c r="D253" s="33">
        <f t="shared" si="63"/>
        <v>165200</v>
      </c>
      <c r="E253" s="33">
        <f t="shared" si="64"/>
        <v>0</v>
      </c>
      <c r="F253" s="93">
        <f t="shared" si="60"/>
        <v>0</v>
      </c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33">
        <v>165200</v>
      </c>
      <c r="T253" s="80"/>
    </row>
    <row r="254" spans="1:20" s="6" customFormat="1" ht="16.5" x14ac:dyDescent="0.25">
      <c r="A254" s="63" t="s">
        <v>269</v>
      </c>
      <c r="B254" s="28" t="s">
        <v>66</v>
      </c>
      <c r="C254" s="51">
        <v>226</v>
      </c>
      <c r="D254" s="33">
        <f t="shared" si="63"/>
        <v>1605600.26</v>
      </c>
      <c r="E254" s="33">
        <f t="shared" si="64"/>
        <v>239564.88</v>
      </c>
      <c r="F254" s="93">
        <f t="shared" si="60"/>
        <v>14.9205805435034</v>
      </c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33">
        <f>820000+785600.26</f>
        <v>1605600.26</v>
      </c>
      <c r="T254" s="80">
        <v>239564.88</v>
      </c>
    </row>
    <row r="255" spans="1:20" s="6" customFormat="1" ht="16.5" x14ac:dyDescent="0.25">
      <c r="A255" s="63" t="s">
        <v>270</v>
      </c>
      <c r="B255" s="58" t="s">
        <v>225</v>
      </c>
      <c r="C255" s="51">
        <v>226</v>
      </c>
      <c r="D255" s="33">
        <f t="shared" si="63"/>
        <v>0</v>
      </c>
      <c r="E255" s="33">
        <f t="shared" si="64"/>
        <v>0</v>
      </c>
      <c r="F255" s="93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33"/>
      <c r="T255" s="80"/>
    </row>
    <row r="256" spans="1:20" s="6" customFormat="1" ht="16.5" x14ac:dyDescent="0.25">
      <c r="A256" s="63" t="s">
        <v>271</v>
      </c>
      <c r="B256" s="28" t="s">
        <v>68</v>
      </c>
      <c r="C256" s="51">
        <v>290</v>
      </c>
      <c r="D256" s="33">
        <f t="shared" si="63"/>
        <v>145000</v>
      </c>
      <c r="E256" s="33">
        <f t="shared" si="64"/>
        <v>47620</v>
      </c>
      <c r="F256" s="93">
        <f t="shared" si="60"/>
        <v>32.841379310344827</v>
      </c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33">
        <v>145000</v>
      </c>
      <c r="T256" s="80">
        <v>47620</v>
      </c>
    </row>
    <row r="257" spans="1:20" s="6" customFormat="1" ht="16.5" x14ac:dyDescent="0.25">
      <c r="A257" s="63" t="s">
        <v>272</v>
      </c>
      <c r="B257" s="58" t="s">
        <v>72</v>
      </c>
      <c r="C257" s="51">
        <v>310</v>
      </c>
      <c r="D257" s="33">
        <f t="shared" si="63"/>
        <v>200500</v>
      </c>
      <c r="E257" s="33">
        <f t="shared" si="64"/>
        <v>44408</v>
      </c>
      <c r="F257" s="93">
        <f t="shared" si="60"/>
        <v>22.14862842892768</v>
      </c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33">
        <v>200500</v>
      </c>
      <c r="T257" s="80">
        <v>44408</v>
      </c>
    </row>
    <row r="258" spans="1:20" s="6" customFormat="1" ht="16.5" x14ac:dyDescent="0.25">
      <c r="A258" s="63" t="s">
        <v>273</v>
      </c>
      <c r="B258" s="58" t="s">
        <v>243</v>
      </c>
      <c r="C258" s="51">
        <v>340</v>
      </c>
      <c r="D258" s="33">
        <f t="shared" si="63"/>
        <v>960000</v>
      </c>
      <c r="E258" s="33">
        <f t="shared" si="64"/>
        <v>831032.45</v>
      </c>
      <c r="F258" s="93">
        <f t="shared" si="60"/>
        <v>86.565880208333326</v>
      </c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33">
        <v>960000</v>
      </c>
      <c r="T258" s="80">
        <f>162800+668232.45</f>
        <v>831032.45</v>
      </c>
    </row>
    <row r="259" spans="1:20" s="18" customFormat="1" ht="20.25" customHeight="1" x14ac:dyDescent="0.25">
      <c r="A259" s="168" t="s">
        <v>304</v>
      </c>
      <c r="B259" s="168"/>
      <c r="C259" s="49"/>
      <c r="D259" s="34">
        <f t="shared" ref="D259:E259" si="65">SUM(D15+D31-D47)</f>
        <v>0</v>
      </c>
      <c r="E259" s="34">
        <f t="shared" si="65"/>
        <v>2449042.0999999978</v>
      </c>
      <c r="F259" s="93"/>
      <c r="G259" s="34">
        <f t="shared" ref="G259" si="66">SUM(G15+G31-G47)</f>
        <v>0</v>
      </c>
      <c r="H259" s="34">
        <f t="shared" ref="H259:S259" si="67">SUM(H15+H31-H47)</f>
        <v>1499310.3000000007</v>
      </c>
      <c r="I259" s="34">
        <f t="shared" si="67"/>
        <v>0</v>
      </c>
      <c r="J259" s="34">
        <f t="shared" si="67"/>
        <v>0</v>
      </c>
      <c r="K259" s="34">
        <f t="shared" si="67"/>
        <v>0</v>
      </c>
      <c r="L259" s="34">
        <f t="shared" si="67"/>
        <v>0</v>
      </c>
      <c r="M259" s="34">
        <f t="shared" si="67"/>
        <v>0</v>
      </c>
      <c r="N259" s="34">
        <f t="shared" si="67"/>
        <v>0</v>
      </c>
      <c r="O259" s="34">
        <f t="shared" si="67"/>
        <v>0</v>
      </c>
      <c r="P259" s="34">
        <f t="shared" si="67"/>
        <v>0</v>
      </c>
      <c r="Q259" s="34">
        <f t="shared" si="67"/>
        <v>0</v>
      </c>
      <c r="R259" s="34">
        <f t="shared" si="67"/>
        <v>0</v>
      </c>
      <c r="S259" s="34">
        <f t="shared" si="67"/>
        <v>9.3132257461547852E-10</v>
      </c>
      <c r="T259" s="34">
        <f>SUM(T15+T31-T47)</f>
        <v>949731.79999999958</v>
      </c>
    </row>
    <row r="260" spans="1:20" s="18" customFormat="1" ht="17.25" x14ac:dyDescent="0.25">
      <c r="A260" s="47" t="s">
        <v>17</v>
      </c>
      <c r="B260" s="48" t="s">
        <v>18</v>
      </c>
      <c r="C260" s="49"/>
      <c r="D260" s="34">
        <f t="shared" ref="D260:E260" si="68">SUM(D261:D263)</f>
        <v>0</v>
      </c>
      <c r="E260" s="34">
        <f t="shared" si="68"/>
        <v>1289970.3000000012</v>
      </c>
      <c r="F260" s="93"/>
      <c r="G260" s="34">
        <f>SUM(G261:G263)</f>
        <v>0</v>
      </c>
      <c r="H260" s="34">
        <f t="shared" ref="H260:T260" si="69">SUM(H261:H263)</f>
        <v>1289970.3000000012</v>
      </c>
      <c r="I260" s="34">
        <f t="shared" si="69"/>
        <v>0</v>
      </c>
      <c r="J260" s="34">
        <f t="shared" si="69"/>
        <v>0</v>
      </c>
      <c r="K260" s="34">
        <f t="shared" si="69"/>
        <v>0</v>
      </c>
      <c r="L260" s="34">
        <f t="shared" si="69"/>
        <v>0</v>
      </c>
      <c r="M260" s="34">
        <f t="shared" si="69"/>
        <v>0</v>
      </c>
      <c r="N260" s="34">
        <f t="shared" si="69"/>
        <v>0</v>
      </c>
      <c r="O260" s="34">
        <f t="shared" si="69"/>
        <v>0</v>
      </c>
      <c r="P260" s="34">
        <f t="shared" si="69"/>
        <v>0</v>
      </c>
      <c r="Q260" s="34">
        <f t="shared" si="69"/>
        <v>0</v>
      </c>
      <c r="R260" s="34">
        <f t="shared" si="69"/>
        <v>0</v>
      </c>
      <c r="S260" s="34">
        <f t="shared" si="69"/>
        <v>0</v>
      </c>
      <c r="T260" s="34">
        <f t="shared" si="69"/>
        <v>0</v>
      </c>
    </row>
    <row r="261" spans="1:20" s="6" customFormat="1" ht="16.5" x14ac:dyDescent="0.25">
      <c r="A261" s="50" t="s">
        <v>19</v>
      </c>
      <c r="B261" s="28" t="s">
        <v>274</v>
      </c>
      <c r="C261" s="51"/>
      <c r="D261" s="33">
        <f t="shared" ref="D261:E261" si="70">D17+D33-D49</f>
        <v>0</v>
      </c>
      <c r="E261" s="33">
        <f t="shared" si="70"/>
        <v>604715.61000000127</v>
      </c>
      <c r="F261" s="93"/>
      <c r="G261" s="33">
        <f>G17+G33-G49</f>
        <v>0</v>
      </c>
      <c r="H261" s="33">
        <f t="shared" ref="H261:T261" si="71">H17+H33-H49</f>
        <v>604715.61000000127</v>
      </c>
      <c r="I261" s="33">
        <f t="shared" si="71"/>
        <v>0</v>
      </c>
      <c r="J261" s="33">
        <f t="shared" si="71"/>
        <v>0</v>
      </c>
      <c r="K261" s="33">
        <f t="shared" si="71"/>
        <v>0</v>
      </c>
      <c r="L261" s="33">
        <f t="shared" si="71"/>
        <v>0</v>
      </c>
      <c r="M261" s="33">
        <f t="shared" si="71"/>
        <v>0</v>
      </c>
      <c r="N261" s="33">
        <f t="shared" si="71"/>
        <v>0</v>
      </c>
      <c r="O261" s="33">
        <f t="shared" si="71"/>
        <v>0</v>
      </c>
      <c r="P261" s="33">
        <f t="shared" si="71"/>
        <v>0</v>
      </c>
      <c r="Q261" s="33">
        <f t="shared" si="71"/>
        <v>0</v>
      </c>
      <c r="R261" s="33">
        <f t="shared" si="71"/>
        <v>0</v>
      </c>
      <c r="S261" s="33">
        <f t="shared" si="71"/>
        <v>0</v>
      </c>
      <c r="T261" s="33">
        <f t="shared" si="71"/>
        <v>0</v>
      </c>
    </row>
    <row r="262" spans="1:20" s="6" customFormat="1" ht="16.5" x14ac:dyDescent="0.25">
      <c r="A262" s="50" t="s">
        <v>21</v>
      </c>
      <c r="B262" s="28" t="s">
        <v>22</v>
      </c>
      <c r="C262" s="51"/>
      <c r="D262" s="33">
        <f t="shared" ref="D262:E262" si="72">D19+D34-D78</f>
        <v>0</v>
      </c>
      <c r="E262" s="33">
        <f t="shared" si="72"/>
        <v>685254.69</v>
      </c>
      <c r="F262" s="93"/>
      <c r="G262" s="33">
        <f>G19+G34-G78</f>
        <v>0</v>
      </c>
      <c r="H262" s="33">
        <f t="shared" ref="H262:T262" si="73">H19+H34-H78</f>
        <v>685254.69</v>
      </c>
      <c r="I262" s="33">
        <f t="shared" si="73"/>
        <v>0</v>
      </c>
      <c r="J262" s="33">
        <f t="shared" si="73"/>
        <v>0</v>
      </c>
      <c r="K262" s="33">
        <f t="shared" si="73"/>
        <v>0</v>
      </c>
      <c r="L262" s="33">
        <f t="shared" si="73"/>
        <v>0</v>
      </c>
      <c r="M262" s="33">
        <f t="shared" si="73"/>
        <v>0</v>
      </c>
      <c r="N262" s="33">
        <f t="shared" si="73"/>
        <v>0</v>
      </c>
      <c r="O262" s="33">
        <f t="shared" si="73"/>
        <v>0</v>
      </c>
      <c r="P262" s="33">
        <f t="shared" si="73"/>
        <v>0</v>
      </c>
      <c r="Q262" s="33">
        <f t="shared" si="73"/>
        <v>0</v>
      </c>
      <c r="R262" s="33">
        <f t="shared" si="73"/>
        <v>0</v>
      </c>
      <c r="S262" s="33">
        <f t="shared" si="73"/>
        <v>0</v>
      </c>
      <c r="T262" s="33">
        <f t="shared" si="73"/>
        <v>0</v>
      </c>
    </row>
    <row r="263" spans="1:20" s="6" customFormat="1" ht="16.5" x14ac:dyDescent="0.25">
      <c r="A263" s="52" t="s">
        <v>23</v>
      </c>
      <c r="B263" s="28" t="s">
        <v>24</v>
      </c>
      <c r="C263" s="51"/>
      <c r="D263" s="33">
        <f t="shared" ref="D263:E263" si="74">SUM(D19+D35-D82)</f>
        <v>0</v>
      </c>
      <c r="E263" s="33">
        <f t="shared" si="74"/>
        <v>0</v>
      </c>
      <c r="F263" s="93"/>
      <c r="G263" s="33">
        <f t="shared" ref="G263" si="75">SUM(G19+G35-G82)</f>
        <v>0</v>
      </c>
      <c r="H263" s="33">
        <f t="shared" ref="H263:T263" si="76">SUM(H19+H35-H82)</f>
        <v>0</v>
      </c>
      <c r="I263" s="33">
        <f t="shared" si="76"/>
        <v>0</v>
      </c>
      <c r="J263" s="33">
        <f t="shared" si="76"/>
        <v>0</v>
      </c>
      <c r="K263" s="33">
        <f t="shared" si="76"/>
        <v>0</v>
      </c>
      <c r="L263" s="33">
        <f t="shared" si="76"/>
        <v>0</v>
      </c>
      <c r="M263" s="33">
        <f t="shared" si="76"/>
        <v>0</v>
      </c>
      <c r="N263" s="33">
        <f t="shared" si="76"/>
        <v>0</v>
      </c>
      <c r="O263" s="33">
        <f t="shared" si="76"/>
        <v>0</v>
      </c>
      <c r="P263" s="33">
        <f t="shared" si="76"/>
        <v>0</v>
      </c>
      <c r="Q263" s="33">
        <f t="shared" si="76"/>
        <v>0</v>
      </c>
      <c r="R263" s="33">
        <f t="shared" si="76"/>
        <v>0</v>
      </c>
      <c r="S263" s="33">
        <f t="shared" si="76"/>
        <v>0</v>
      </c>
      <c r="T263" s="33">
        <f t="shared" si="76"/>
        <v>0</v>
      </c>
    </row>
    <row r="264" spans="1:20" s="18" customFormat="1" ht="17.25" x14ac:dyDescent="0.25">
      <c r="A264" s="53" t="s">
        <v>25</v>
      </c>
      <c r="B264" s="48" t="s">
        <v>26</v>
      </c>
      <c r="C264" s="49"/>
      <c r="D264" s="34">
        <f t="shared" ref="D264:E264" si="77">D20+D36-D84</f>
        <v>0</v>
      </c>
      <c r="E264" s="34">
        <f t="shared" si="77"/>
        <v>209340</v>
      </c>
      <c r="F264" s="93"/>
      <c r="G264" s="34">
        <f t="shared" ref="G264:G265" si="78">G20+G36-G84</f>
        <v>0</v>
      </c>
      <c r="H264" s="34">
        <f t="shared" ref="H264:T264" si="79">H20+H36-H84</f>
        <v>209340</v>
      </c>
      <c r="I264" s="34">
        <f t="shared" si="79"/>
        <v>0</v>
      </c>
      <c r="J264" s="34">
        <f t="shared" si="79"/>
        <v>0</v>
      </c>
      <c r="K264" s="34">
        <f t="shared" si="79"/>
        <v>0</v>
      </c>
      <c r="L264" s="34">
        <f t="shared" si="79"/>
        <v>0</v>
      </c>
      <c r="M264" s="34">
        <f t="shared" si="79"/>
        <v>0</v>
      </c>
      <c r="N264" s="34">
        <f t="shared" si="79"/>
        <v>0</v>
      </c>
      <c r="O264" s="34">
        <f t="shared" si="79"/>
        <v>0</v>
      </c>
      <c r="P264" s="34">
        <f t="shared" si="79"/>
        <v>0</v>
      </c>
      <c r="Q264" s="34">
        <f t="shared" si="79"/>
        <v>0</v>
      </c>
      <c r="R264" s="34">
        <f t="shared" si="79"/>
        <v>0</v>
      </c>
      <c r="S264" s="34">
        <f t="shared" si="79"/>
        <v>0</v>
      </c>
      <c r="T264" s="34">
        <f t="shared" si="79"/>
        <v>0</v>
      </c>
    </row>
    <row r="265" spans="1:20" s="6" customFormat="1" ht="33" x14ac:dyDescent="0.25">
      <c r="A265" s="73" t="s">
        <v>27</v>
      </c>
      <c r="B265" s="58" t="s">
        <v>83</v>
      </c>
      <c r="C265" s="51"/>
      <c r="D265" s="33">
        <f t="shared" ref="D265:E265" si="80">D21+D37-D85</f>
        <v>0</v>
      </c>
      <c r="E265" s="33">
        <f t="shared" si="80"/>
        <v>209340</v>
      </c>
      <c r="F265" s="93"/>
      <c r="G265" s="33">
        <f t="shared" si="78"/>
        <v>0</v>
      </c>
      <c r="H265" s="33">
        <f t="shared" ref="H265:T265" si="81">H21+H37-H85</f>
        <v>209340</v>
      </c>
      <c r="I265" s="33">
        <f t="shared" si="81"/>
        <v>0</v>
      </c>
      <c r="J265" s="33">
        <f t="shared" si="81"/>
        <v>0</v>
      </c>
      <c r="K265" s="33">
        <f t="shared" si="81"/>
        <v>0</v>
      </c>
      <c r="L265" s="33">
        <f t="shared" si="81"/>
        <v>0</v>
      </c>
      <c r="M265" s="33">
        <f t="shared" si="81"/>
        <v>0</v>
      </c>
      <c r="N265" s="33">
        <f t="shared" si="81"/>
        <v>0</v>
      </c>
      <c r="O265" s="33">
        <f t="shared" si="81"/>
        <v>0</v>
      </c>
      <c r="P265" s="33">
        <f t="shared" si="81"/>
        <v>0</v>
      </c>
      <c r="Q265" s="33">
        <f t="shared" si="81"/>
        <v>0</v>
      </c>
      <c r="R265" s="33">
        <f t="shared" si="81"/>
        <v>0</v>
      </c>
      <c r="S265" s="33">
        <f t="shared" si="81"/>
        <v>0</v>
      </c>
      <c r="T265" s="33">
        <f t="shared" si="81"/>
        <v>0</v>
      </c>
    </row>
    <row r="266" spans="1:20" s="6" customFormat="1" ht="33" x14ac:dyDescent="0.25">
      <c r="A266" s="73" t="s">
        <v>29</v>
      </c>
      <c r="B266" s="58" t="s">
        <v>44</v>
      </c>
      <c r="C266" s="51"/>
      <c r="D266" s="33">
        <f t="shared" ref="D266:E266" si="82">D22+D38-D165</f>
        <v>0</v>
      </c>
      <c r="E266" s="33">
        <f t="shared" si="82"/>
        <v>0</v>
      </c>
      <c r="F266" s="93"/>
      <c r="G266" s="33">
        <f t="shared" ref="G266" si="83">G22+G38-G165</f>
        <v>0</v>
      </c>
      <c r="H266" s="33">
        <f t="shared" ref="H266:T266" si="84">H22+H38-H165</f>
        <v>0</v>
      </c>
      <c r="I266" s="33">
        <f t="shared" si="84"/>
        <v>0</v>
      </c>
      <c r="J266" s="33">
        <f t="shared" si="84"/>
        <v>0</v>
      </c>
      <c r="K266" s="33">
        <f t="shared" si="84"/>
        <v>0</v>
      </c>
      <c r="L266" s="33">
        <f t="shared" si="84"/>
        <v>0</v>
      </c>
      <c r="M266" s="33">
        <f t="shared" si="84"/>
        <v>0</v>
      </c>
      <c r="N266" s="33">
        <f t="shared" si="84"/>
        <v>0</v>
      </c>
      <c r="O266" s="33">
        <f t="shared" si="84"/>
        <v>0</v>
      </c>
      <c r="P266" s="33">
        <f t="shared" si="84"/>
        <v>0</v>
      </c>
      <c r="Q266" s="33">
        <f t="shared" si="84"/>
        <v>0</v>
      </c>
      <c r="R266" s="33">
        <f t="shared" si="84"/>
        <v>0</v>
      </c>
      <c r="S266" s="33">
        <f t="shared" si="84"/>
        <v>0</v>
      </c>
      <c r="T266" s="33">
        <f t="shared" si="84"/>
        <v>0</v>
      </c>
    </row>
    <row r="267" spans="1:20" s="6" customFormat="1" ht="49.5" x14ac:dyDescent="0.25">
      <c r="A267" s="73" t="s">
        <v>31</v>
      </c>
      <c r="B267" s="28" t="s">
        <v>189</v>
      </c>
      <c r="C267" s="51"/>
      <c r="D267" s="33">
        <f t="shared" ref="D267:E267" si="85">D23+D39-D168</f>
        <v>0</v>
      </c>
      <c r="E267" s="33">
        <f t="shared" si="85"/>
        <v>0</v>
      </c>
      <c r="F267" s="93"/>
      <c r="G267" s="33">
        <f t="shared" ref="G267" si="86">G23+G39-G168</f>
        <v>0</v>
      </c>
      <c r="H267" s="33">
        <f t="shared" ref="H267:T267" si="87">H23+H39-H168</f>
        <v>0</v>
      </c>
      <c r="I267" s="33">
        <f t="shared" si="87"/>
        <v>0</v>
      </c>
      <c r="J267" s="33">
        <f t="shared" si="87"/>
        <v>0</v>
      </c>
      <c r="K267" s="33">
        <f t="shared" si="87"/>
        <v>0</v>
      </c>
      <c r="L267" s="33">
        <f t="shared" si="87"/>
        <v>0</v>
      </c>
      <c r="M267" s="33">
        <f t="shared" si="87"/>
        <v>0</v>
      </c>
      <c r="N267" s="33">
        <f t="shared" si="87"/>
        <v>0</v>
      </c>
      <c r="O267" s="33">
        <f t="shared" si="87"/>
        <v>0</v>
      </c>
      <c r="P267" s="33">
        <f t="shared" si="87"/>
        <v>0</v>
      </c>
      <c r="Q267" s="33">
        <f t="shared" si="87"/>
        <v>0</v>
      </c>
      <c r="R267" s="33">
        <f t="shared" si="87"/>
        <v>0</v>
      </c>
      <c r="S267" s="33">
        <f t="shared" si="87"/>
        <v>0</v>
      </c>
      <c r="T267" s="33">
        <f t="shared" si="87"/>
        <v>0</v>
      </c>
    </row>
    <row r="268" spans="1:20" s="6" customFormat="1" ht="33" x14ac:dyDescent="0.25">
      <c r="A268" s="73" t="s">
        <v>33</v>
      </c>
      <c r="B268" s="58" t="s">
        <v>34</v>
      </c>
      <c r="C268" s="51"/>
      <c r="D268" s="33">
        <f t="shared" ref="D268:E268" si="88">D24+D40-D174</f>
        <v>0</v>
      </c>
      <c r="E268" s="33">
        <f t="shared" si="88"/>
        <v>0</v>
      </c>
      <c r="F268" s="93"/>
      <c r="G268" s="33">
        <f t="shared" ref="G268" si="89">G24+G40-G174</f>
        <v>0</v>
      </c>
      <c r="H268" s="33">
        <f t="shared" ref="H268:T268" si="90">H24+H40-H174</f>
        <v>0</v>
      </c>
      <c r="I268" s="33">
        <f t="shared" si="90"/>
        <v>0</v>
      </c>
      <c r="J268" s="33">
        <f t="shared" si="90"/>
        <v>0</v>
      </c>
      <c r="K268" s="33">
        <f t="shared" si="90"/>
        <v>0</v>
      </c>
      <c r="L268" s="33">
        <f t="shared" si="90"/>
        <v>0</v>
      </c>
      <c r="M268" s="33">
        <f t="shared" si="90"/>
        <v>0</v>
      </c>
      <c r="N268" s="33">
        <f t="shared" si="90"/>
        <v>0</v>
      </c>
      <c r="O268" s="33">
        <f t="shared" si="90"/>
        <v>0</v>
      </c>
      <c r="P268" s="33">
        <f t="shared" si="90"/>
        <v>0</v>
      </c>
      <c r="Q268" s="33">
        <f t="shared" si="90"/>
        <v>0</v>
      </c>
      <c r="R268" s="33">
        <f t="shared" si="90"/>
        <v>0</v>
      </c>
      <c r="S268" s="33">
        <f t="shared" si="90"/>
        <v>0</v>
      </c>
      <c r="T268" s="33">
        <f t="shared" si="90"/>
        <v>0</v>
      </c>
    </row>
    <row r="269" spans="1:20" s="6" customFormat="1" ht="49.5" x14ac:dyDescent="0.25">
      <c r="A269" s="73" t="s">
        <v>35</v>
      </c>
      <c r="B269" s="58" t="s">
        <v>36</v>
      </c>
      <c r="C269" s="51"/>
      <c r="D269" s="33">
        <f t="shared" ref="D269:E269" si="91">D25+D41-D180</f>
        <v>0</v>
      </c>
      <c r="E269" s="33">
        <f t="shared" si="91"/>
        <v>0</v>
      </c>
      <c r="F269" s="93"/>
      <c r="G269" s="33">
        <f t="shared" ref="G269" si="92">G25+G41-G180</f>
        <v>0</v>
      </c>
      <c r="H269" s="33">
        <f t="shared" ref="H269:T269" si="93">H25+H41-H180</f>
        <v>0</v>
      </c>
      <c r="I269" s="33">
        <f t="shared" si="93"/>
        <v>0</v>
      </c>
      <c r="J269" s="33">
        <f t="shared" si="93"/>
        <v>0</v>
      </c>
      <c r="K269" s="33">
        <f t="shared" si="93"/>
        <v>0</v>
      </c>
      <c r="L269" s="33">
        <f t="shared" si="93"/>
        <v>0</v>
      </c>
      <c r="M269" s="33">
        <f t="shared" si="93"/>
        <v>0</v>
      </c>
      <c r="N269" s="33">
        <f t="shared" si="93"/>
        <v>0</v>
      </c>
      <c r="O269" s="33">
        <f t="shared" si="93"/>
        <v>0</v>
      </c>
      <c r="P269" s="33">
        <f t="shared" si="93"/>
        <v>0</v>
      </c>
      <c r="Q269" s="33">
        <f t="shared" si="93"/>
        <v>0</v>
      </c>
      <c r="R269" s="33">
        <f t="shared" si="93"/>
        <v>0</v>
      </c>
      <c r="S269" s="33">
        <f t="shared" si="93"/>
        <v>0</v>
      </c>
      <c r="T269" s="33">
        <f t="shared" si="93"/>
        <v>0</v>
      </c>
    </row>
    <row r="270" spans="1:20" s="18" customFormat="1" ht="17.25" x14ac:dyDescent="0.25">
      <c r="A270" s="47">
        <v>3</v>
      </c>
      <c r="B270" s="62" t="s">
        <v>37</v>
      </c>
      <c r="C270" s="49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</row>
    <row r="271" spans="1:20" s="18" customFormat="1" ht="17.25" x14ac:dyDescent="0.25">
      <c r="A271" s="47">
        <v>4</v>
      </c>
      <c r="B271" s="62" t="s">
        <v>38</v>
      </c>
      <c r="C271" s="49"/>
      <c r="D271" s="34">
        <f t="shared" ref="D271" si="94">D27+D43-D187</f>
        <v>0</v>
      </c>
      <c r="E271" s="34">
        <f>E27+E43-E187</f>
        <v>201580.90999999997</v>
      </c>
      <c r="F271" s="34"/>
      <c r="G271" s="34">
        <f t="shared" ref="G271" si="95">G27+G43-G187</f>
        <v>0</v>
      </c>
      <c r="H271" s="34">
        <f t="shared" ref="H271:T271" si="96">H27+H43-H187</f>
        <v>0</v>
      </c>
      <c r="I271" s="34">
        <f t="shared" si="96"/>
        <v>0</v>
      </c>
      <c r="J271" s="34">
        <f t="shared" si="96"/>
        <v>0</v>
      </c>
      <c r="K271" s="34">
        <f t="shared" si="96"/>
        <v>0</v>
      </c>
      <c r="L271" s="34">
        <f t="shared" si="96"/>
        <v>0</v>
      </c>
      <c r="M271" s="34">
        <f t="shared" si="96"/>
        <v>0</v>
      </c>
      <c r="N271" s="34">
        <f t="shared" si="96"/>
        <v>0</v>
      </c>
      <c r="O271" s="34">
        <f t="shared" si="96"/>
        <v>0</v>
      </c>
      <c r="P271" s="34">
        <f t="shared" si="96"/>
        <v>0</v>
      </c>
      <c r="Q271" s="34">
        <f t="shared" si="96"/>
        <v>0</v>
      </c>
      <c r="R271" s="34">
        <f t="shared" si="96"/>
        <v>0</v>
      </c>
      <c r="S271" s="34">
        <f t="shared" si="96"/>
        <v>0</v>
      </c>
      <c r="T271" s="34">
        <f t="shared" si="96"/>
        <v>201580.90999999997</v>
      </c>
    </row>
    <row r="272" spans="1:20" s="18" customFormat="1" ht="17.25" x14ac:dyDescent="0.25">
      <c r="A272" s="47">
        <v>5</v>
      </c>
      <c r="B272" s="62" t="s">
        <v>39</v>
      </c>
      <c r="C272" s="49"/>
      <c r="D272" s="34">
        <f t="shared" ref="D272:E272" si="97">D28+D44-D206</f>
        <v>0</v>
      </c>
      <c r="E272" s="34">
        <f t="shared" si="97"/>
        <v>0</v>
      </c>
      <c r="F272" s="34"/>
      <c r="G272" s="34">
        <f t="shared" ref="G272" si="98">G28+G44-G206</f>
        <v>0</v>
      </c>
      <c r="H272" s="34">
        <f t="shared" ref="H272:T272" si="99">H28+H44-H206</f>
        <v>0</v>
      </c>
      <c r="I272" s="34">
        <f t="shared" si="99"/>
        <v>0</v>
      </c>
      <c r="J272" s="34">
        <f t="shared" si="99"/>
        <v>0</v>
      </c>
      <c r="K272" s="34">
        <f t="shared" si="99"/>
        <v>0</v>
      </c>
      <c r="L272" s="34">
        <f t="shared" si="99"/>
        <v>0</v>
      </c>
      <c r="M272" s="34">
        <f t="shared" si="99"/>
        <v>0</v>
      </c>
      <c r="N272" s="34">
        <f t="shared" si="99"/>
        <v>0</v>
      </c>
      <c r="O272" s="34">
        <f t="shared" si="99"/>
        <v>0</v>
      </c>
      <c r="P272" s="34">
        <f t="shared" si="99"/>
        <v>0</v>
      </c>
      <c r="Q272" s="34">
        <f t="shared" si="99"/>
        <v>0</v>
      </c>
      <c r="R272" s="34">
        <f t="shared" si="99"/>
        <v>0</v>
      </c>
      <c r="S272" s="34">
        <f t="shared" si="99"/>
        <v>0</v>
      </c>
      <c r="T272" s="34">
        <f t="shared" si="99"/>
        <v>0</v>
      </c>
    </row>
    <row r="273" spans="1:20" s="18" customFormat="1" ht="17.25" x14ac:dyDescent="0.25">
      <c r="A273" s="47">
        <v>6</v>
      </c>
      <c r="B273" s="62" t="s">
        <v>40</v>
      </c>
      <c r="C273" s="49"/>
      <c r="D273" s="34">
        <f t="shared" ref="D273:E273" si="100">D29+D45-D223</f>
        <v>0</v>
      </c>
      <c r="E273" s="34">
        <f t="shared" si="100"/>
        <v>0</v>
      </c>
      <c r="F273" s="34"/>
      <c r="G273" s="34">
        <f t="shared" ref="G273" si="101">G29+G45-G223</f>
        <v>0</v>
      </c>
      <c r="H273" s="34">
        <f t="shared" ref="H273:T273" si="102">H29+H45-H223</f>
        <v>0</v>
      </c>
      <c r="I273" s="34">
        <f t="shared" si="102"/>
        <v>0</v>
      </c>
      <c r="J273" s="34">
        <f t="shared" si="102"/>
        <v>0</v>
      </c>
      <c r="K273" s="34">
        <f t="shared" si="102"/>
        <v>0</v>
      </c>
      <c r="L273" s="34">
        <f t="shared" si="102"/>
        <v>0</v>
      </c>
      <c r="M273" s="34">
        <f t="shared" si="102"/>
        <v>0</v>
      </c>
      <c r="N273" s="34">
        <f t="shared" si="102"/>
        <v>0</v>
      </c>
      <c r="O273" s="34">
        <f t="shared" si="102"/>
        <v>0</v>
      </c>
      <c r="P273" s="34">
        <f t="shared" si="102"/>
        <v>0</v>
      </c>
      <c r="Q273" s="34">
        <f t="shared" si="102"/>
        <v>0</v>
      </c>
      <c r="R273" s="34">
        <f t="shared" si="102"/>
        <v>0</v>
      </c>
      <c r="S273" s="34">
        <f t="shared" si="102"/>
        <v>0</v>
      </c>
      <c r="T273" s="34">
        <f t="shared" si="102"/>
        <v>0</v>
      </c>
    </row>
    <row r="274" spans="1:20" s="18" customFormat="1" ht="17.25" x14ac:dyDescent="0.25">
      <c r="A274" s="47">
        <v>7</v>
      </c>
      <c r="B274" s="62" t="s">
        <v>41</v>
      </c>
      <c r="C274" s="49"/>
      <c r="D274" s="34">
        <f t="shared" ref="D274:E274" si="103">D30+D46-D241</f>
        <v>0</v>
      </c>
      <c r="E274" s="34">
        <f t="shared" si="103"/>
        <v>748150.8899999999</v>
      </c>
      <c r="F274" s="34"/>
      <c r="G274" s="34">
        <f t="shared" ref="G274" si="104">G30+G46-G241</f>
        <v>0</v>
      </c>
      <c r="H274" s="34">
        <f t="shared" ref="H274:T274" si="105">H30+H46-H241</f>
        <v>0</v>
      </c>
      <c r="I274" s="34">
        <f t="shared" si="105"/>
        <v>0</v>
      </c>
      <c r="J274" s="34">
        <f t="shared" si="105"/>
        <v>0</v>
      </c>
      <c r="K274" s="34">
        <f t="shared" si="105"/>
        <v>0</v>
      </c>
      <c r="L274" s="34">
        <f t="shared" si="105"/>
        <v>0</v>
      </c>
      <c r="M274" s="34">
        <f t="shared" si="105"/>
        <v>0</v>
      </c>
      <c r="N274" s="34">
        <f t="shared" si="105"/>
        <v>0</v>
      </c>
      <c r="O274" s="34">
        <f t="shared" si="105"/>
        <v>0</v>
      </c>
      <c r="P274" s="34">
        <f t="shared" si="105"/>
        <v>0</v>
      </c>
      <c r="Q274" s="34">
        <f t="shared" si="105"/>
        <v>0</v>
      </c>
      <c r="R274" s="34">
        <f t="shared" si="105"/>
        <v>0</v>
      </c>
      <c r="S274" s="34">
        <f t="shared" si="105"/>
        <v>0</v>
      </c>
      <c r="T274" s="34">
        <f t="shared" si="105"/>
        <v>748150.8899999999</v>
      </c>
    </row>
  </sheetData>
  <mergeCells count="24">
    <mergeCell ref="A15:B15"/>
    <mergeCell ref="A31:B31"/>
    <mergeCell ref="A47:B47"/>
    <mergeCell ref="A259:B259"/>
    <mergeCell ref="A11:A14"/>
    <mergeCell ref="B11:B14"/>
    <mergeCell ref="K1:S1"/>
    <mergeCell ref="K2:S2"/>
    <mergeCell ref="K3:S3"/>
    <mergeCell ref="A9:S9"/>
    <mergeCell ref="A7:T7"/>
    <mergeCell ref="G11:T11"/>
    <mergeCell ref="G12:H13"/>
    <mergeCell ref="A8:T8"/>
    <mergeCell ref="I12:R12"/>
    <mergeCell ref="S12:T13"/>
    <mergeCell ref="I13:J13"/>
    <mergeCell ref="K13:L13"/>
    <mergeCell ref="M13:N13"/>
    <mergeCell ref="O13:P13"/>
    <mergeCell ref="Q13:R13"/>
    <mergeCell ref="F11:F13"/>
    <mergeCell ref="C11:C14"/>
    <mergeCell ref="D11:E1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18</vt:i4>
      </vt:variant>
    </vt:vector>
  </HeadingPairs>
  <TitlesOfParts>
    <vt:vector size="27" baseType="lpstr">
      <vt:lpstr>СВОД</vt:lpstr>
      <vt:lpstr>ДОУ СВОД</vt:lpstr>
      <vt:lpstr>ДОУ БУ</vt:lpstr>
      <vt:lpstr>ДОУ АУ</vt:lpstr>
      <vt:lpstr>Школы СВОД</vt:lpstr>
      <vt:lpstr>Школы БУ</vt:lpstr>
      <vt:lpstr>Школы АУ</vt:lpstr>
      <vt:lpstr>Внешк АУ</vt:lpstr>
      <vt:lpstr>ЦРО АУ</vt:lpstr>
      <vt:lpstr>'Внешк АУ'!Заголовки_для_печати</vt:lpstr>
      <vt:lpstr>'ДОУ АУ'!Заголовки_для_печати</vt:lpstr>
      <vt:lpstr>'ДОУ БУ'!Заголовки_для_печати</vt:lpstr>
      <vt:lpstr>'ДОУ СВОД'!Заголовки_для_печати</vt:lpstr>
      <vt:lpstr>СВОД!Заголовки_для_печати</vt:lpstr>
      <vt:lpstr>'ЦРО АУ'!Заголовки_для_печати</vt:lpstr>
      <vt:lpstr>'Школы АУ'!Заголовки_для_печати</vt:lpstr>
      <vt:lpstr>'Школы БУ'!Заголовки_для_печати</vt:lpstr>
      <vt:lpstr>'Школы СВОД'!Заголовки_для_печати</vt:lpstr>
      <vt:lpstr>'Внешк АУ'!Область_печати</vt:lpstr>
      <vt:lpstr>'ДОУ АУ'!Область_печати</vt:lpstr>
      <vt:lpstr>'ДОУ БУ'!Область_печати</vt:lpstr>
      <vt:lpstr>'ДОУ СВОД'!Область_печати</vt:lpstr>
      <vt:lpstr>СВОД!Область_печати</vt:lpstr>
      <vt:lpstr>'ЦРО АУ'!Область_печати</vt:lpstr>
      <vt:lpstr>'Школы АУ'!Область_печати</vt:lpstr>
      <vt:lpstr>'Школы БУ'!Область_печати</vt:lpstr>
      <vt:lpstr>'Школы СВОД'!Область_печати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2019-08-16T01:09:13Z</dcterms:modified>
</cp:coreProperties>
</file>